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<sst xmlns="http://schemas.openxmlformats.org/spreadsheetml/2006/main" count="481" uniqueCount="138">
  <si>
    <t>Oddz. Klin. Chir. Urazowo-Ortoped.Ch.Ogóln.(Chirurgia Ręki)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</si>
  <si>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</si>
  <si>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</si>
  <si>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</si>
  <si>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</si>
  <si>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</si>
  <si>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</si>
  <si>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</si>
  <si>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</si>
  <si>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</si>
  <si>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</si>
  <si>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</si>
  <si>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</si>
  <si>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</si>
  <si>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</si>
  <si>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</si>
  <si>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</si>
  <si>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</si>
  <si>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</si>
  <si>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</si>
  <si>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</si>
  <si>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</si>
  <si>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</si>
  <si>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</si>
  <si>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</si>
  <si>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</si>
  <si>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</si>
  <si>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</si>
  <si>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</si>
  <si>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</si>
  <si>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</si>
  <si>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</si>
  <si>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</si>
  <si>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</si>
  <si>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</si>
  <si>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</si>
  <si>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</si>
  <si>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</si>
  <si>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ZAMAWIAJĄCY</t>
  </si>
  <si>
    <t>WYKONAWCA</t>
  </si>
  <si>
    <t>Planowana data pierwszego przeglądu</t>
  </si>
  <si>
    <t>Lampa operacyjna</t>
  </si>
  <si>
    <t>Kamera</t>
  </si>
  <si>
    <t>Sterownik</t>
  </si>
  <si>
    <t>PAKIET 12 - Wykonanie przeglądów okresowych lamp operacyjnych prod. Drager w okresie 36 miesięcy</t>
  </si>
  <si>
    <t>Zestaw lamp operacyjnych z systemem obrazowania</t>
  </si>
  <si>
    <t>Polaris</t>
  </si>
  <si>
    <t>100000006031+100000008760+1103056.011</t>
  </si>
  <si>
    <t>12 mies.</t>
  </si>
  <si>
    <t>Kamera centralna</t>
  </si>
  <si>
    <t>Polaris PAL</t>
  </si>
  <si>
    <t>1103056.011 PAL</t>
  </si>
  <si>
    <t>Ramię spreżynujące lampy</t>
  </si>
  <si>
    <t>Polaris 500</t>
  </si>
  <si>
    <t>Polaris 700</t>
  </si>
  <si>
    <t>01112410113014</t>
  </si>
  <si>
    <t>01114010119283</t>
  </si>
  <si>
    <t>Zalilacz</t>
  </si>
  <si>
    <t>Polaris 500/700</t>
  </si>
  <si>
    <t>ASBL 0117</t>
  </si>
  <si>
    <t>TruVidia</t>
  </si>
  <si>
    <t>Blok Op. Ortopedii Traum. Narząd. Ru</t>
  </si>
  <si>
    <t>LK iLED3</t>
  </si>
  <si>
    <t xml:space="preserve">LK iLED5 </t>
  </si>
  <si>
    <t>LK iLED5K</t>
  </si>
  <si>
    <t xml:space="preserve">Monitor </t>
  </si>
  <si>
    <t>Color Display 941MP SyneMaster</t>
  </si>
  <si>
    <t>D019HSHP154521U</t>
  </si>
  <si>
    <t>TruVidia (1395997)</t>
  </si>
  <si>
    <t>Blok Op. Chirurgii Naczyniowej</t>
  </si>
  <si>
    <t>D019HSHP144514Y</t>
  </si>
  <si>
    <t>Ramię kamery</t>
  </si>
  <si>
    <t>TruVidia (1396027)</t>
  </si>
  <si>
    <t>D019HSHP154500Z</t>
  </si>
  <si>
    <t xml:space="preserve">brak </t>
  </si>
  <si>
    <t>D013HSHP154493B</t>
  </si>
  <si>
    <t>Blok Op. Kardiochirurgii</t>
  </si>
  <si>
    <t>D019HSHP154506N</t>
  </si>
  <si>
    <t>D019HSHP154516P</t>
  </si>
  <si>
    <t>TruVida</t>
  </si>
  <si>
    <t>100376347+100445275+100374309+0701006</t>
  </si>
  <si>
    <t>Trumpf</t>
  </si>
  <si>
    <t>100357487+100365654+0703018+0701004+0704005</t>
  </si>
  <si>
    <t xml:space="preserve">Zestaw lamp operacyjnych z systemem obrazowania </t>
  </si>
  <si>
    <t>12 miees.</t>
  </si>
  <si>
    <t>100357486+100369156+0703004+brak+0704001</t>
  </si>
  <si>
    <t>100376348+100445263+100378728+0701018</t>
  </si>
  <si>
    <t>100369158+100369167+0703010+0701008+0704009</t>
  </si>
  <si>
    <t>Helion S0376249</t>
  </si>
  <si>
    <t>100000000015459</t>
  </si>
  <si>
    <t>Pracownia Hemodynamiki</t>
  </si>
  <si>
    <t>100369164+100270166+0703005+0703002+0704000</t>
  </si>
  <si>
    <t>PAKIET 14 - Wykonanie przeglądów okresowych stołów operacyjnych prod. Brumaba w okresie 36 miesięcy</t>
  </si>
  <si>
    <t>PAKIET 15 - Wykonanie przeglądów okresowych stołów operacyjnych prod. Famed w okresie 36 miesięcy</t>
  </si>
  <si>
    <t>PAKIET 16 - Wykonanie przeglądów okresowych stołów operacyjnych prod. Trident Med. w okresie 36 miesięcy</t>
  </si>
  <si>
    <t>Urządzenie do automatycznego ucisku klatki piersiowej</t>
  </si>
  <si>
    <t>PAKIET 20 - Wykonanie przeglądów okresowych aparatów do fakoemulsyfikacji oraz witrektomii prod DORC w okresie 36 miesięcy</t>
  </si>
  <si>
    <t>Nazwa urządzenia</t>
  </si>
  <si>
    <t>Typ</t>
  </si>
  <si>
    <t>Aparat do fakoemulsyfikacji</t>
  </si>
  <si>
    <t>Infiniti Vision System</t>
  </si>
  <si>
    <t>Laser okulistyczny</t>
  </si>
  <si>
    <t>PurePoint</t>
  </si>
  <si>
    <t>Nr Seryjny</t>
  </si>
  <si>
    <t>Jednostka Organizacyjna</t>
  </si>
  <si>
    <t>Częstotliwość. przeglądu</t>
  </si>
  <si>
    <t xml:space="preserve">Planowana data pierwszego przeglądu </t>
  </si>
  <si>
    <t>0802331001X + 7307X + 9501X + 8710X1 + 1105X</t>
  </si>
  <si>
    <t>Sala Op.Przykliniczna Okulistyczna</t>
  </si>
  <si>
    <t>1203028101X</t>
  </si>
  <si>
    <t>PAKIET 21 - Wykonanie przeglądów okresowych aparatu do fakoemulsyfikacji oraz lasera okulistycznego prod. Alcon w okresie 36 miesięcy</t>
  </si>
  <si>
    <t>PAKIET 25 - Wykonanie przeglądów okresowych lamp medycznych prod. Famed w okresie 36 miesięcy</t>
  </si>
  <si>
    <t>Lampa zabiegowa statywowa z zasilaczem akumulatorowym</t>
  </si>
  <si>
    <t>PAKIET 26 - Wykonanie przeglądów okresowych amp medycznych róznych producentów w okresie 36 miesięcy</t>
  </si>
  <si>
    <t>PAKIET 33- Wykonanie przegląów okresowych aparatów EEG prod. Elmiko w okresie 36 miesięcy</t>
  </si>
  <si>
    <t>PAKIET 35- Wykonanie przegląów okresowych zestawu do badań izokinetycznych prod. Biodex Medical w okresie 36 miesięcy</t>
  </si>
  <si>
    <t>PAKIET 36- Wykonanie przegląów okresowych  wstrzykiwaczy kontrastu prod. Liebel w okresie 36 miesięcy</t>
  </si>
  <si>
    <t>PAKIET 37- Wykonanie przegląów okresowych  wstrzykiwaczy kontrastu prod. Bracco w okresie 36 miesięcy</t>
  </si>
  <si>
    <t>30 dni od daty zawarcia umowy</t>
  </si>
  <si>
    <t>PAKIET 13 - Wykonanie przeglądów okresowych lamp operacyjnych prod. Trumpf w okresie 36 miesięcy</t>
  </si>
  <si>
    <t>PAKIET 19 - Wykonanie przeglądów okresowych urządzeń do automatycznego ucisku klatki piersiowej różnych producentów w okresie 36 miesięcy</t>
  </si>
  <si>
    <t>PAKIET 34- Wykonanie przegląów okresowych aparatów EEG prod. Nicolet Biomedica w okresie 36 miesięcy</t>
  </si>
  <si>
    <t>Alcon</t>
  </si>
  <si>
    <t>Platforma balansowa</t>
  </si>
  <si>
    <t>Balance System SD</t>
  </si>
  <si>
    <t>Uniwersyteckie Centrum Rehabilitacji</t>
  </si>
  <si>
    <t xml:space="preserve">Bieżnia do nauki chodu </t>
  </si>
  <si>
    <t>GT2</t>
  </si>
  <si>
    <t>PAKIET 42- Wykonanie przegląów okresowych  lasera do stymulacji Neurolas w okresie 36 miesięcy</t>
  </si>
  <si>
    <t>PAKIET 44- Wykonanie przegląów okresowych  laserów okulistycznych prod. ARC Laser w okresie 36 miesięcy</t>
  </si>
  <si>
    <t>PAKIET 45- Wykonanie przegląów okresowych  lasera okulistycznego IRIDEX w okresie 36 miesięcy</t>
  </si>
  <si>
    <t>PAKIET 46- Wykonanie przegląów okresowych  lasera okulistycznego SLT Solutis w okresie 36 miesięcy</t>
  </si>
  <si>
    <t>PAKIET 47- Wykonanie przegląów okresowych  lasera okulistycznego YAG |Switch w okresie 36 miesięcy</t>
  </si>
  <si>
    <t>PAKIET 48- Wykonanie przegląów okresowych  lasera terapeutycznego LT1000 w okresie 36 miesięcy</t>
  </si>
  <si>
    <t>PAKIET 49- Wykonanie przegląów okresowych  lasera urologicznego OmniPulse w okresie 36 miesięcy</t>
  </si>
  <si>
    <t>PAKIET 50- Wykonanie przegląów okresowych  lasera zielonego prod. Wolf w okresie 36 miesięcy</t>
  </si>
  <si>
    <t>PAKIET 43- Wykonanie przegląów okresowych  lasera holomowego w okresie 36 miesięcy</t>
  </si>
  <si>
    <t>Załącznik 1a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</si>
</sst>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8"/>
  <sheetViews>
    <sheetView tabSelected="1" zoomScalePageLayoutView="0" workbookViewId="0" topLeftCell="A1">
      <selection activeCell="O334" sqref="O334"/>
    </sheetView>
  </sheetViews>
  <sheetFormatPr defaultColWidth="9.140625" defaultRowHeight="15"/>
  <cols>
    <col min="1" max="1" width="4.28125" style="0" customWidth="1"/>
    <col min="2" max="2" width="13.140625" style="0" customWidth="1"/>
    <col min="3" max="3" width="10.57421875" style="0" customWidth="1"/>
    <col min="4" max="4" width="9.00390625" style="0" customWidth="1"/>
    <col min="5" max="5" width="16.7109375" style="0" customWidth="1"/>
    <col min="6" max="6" width="5.421875" style="0" customWidth="1"/>
    <col min="7" max="7" width="10.28125" style="0" customWidth="1"/>
    <col min="8" max="8" width="8.7109375" style="0" customWidth="1"/>
    <col min="9" max="9" width="10.57421875" style="0" customWidth="1"/>
  </cols>
  <sheetData>
    <row r="1" spans="5:9" ht="27" customHeight="1">
      <c r="E1" s="49" t="s">
        <v>137</v>
      </c>
      <c r="F1" s="49"/>
      <c r="G1" s="49"/>
      <c r="H1" s="49"/>
      <c r="I1" s="49"/>
    </row>
    <row r="3" spans="1:9" ht="15">
      <c r="A3" s="54" t="s">
        <v>44</v>
      </c>
      <c r="B3" s="54"/>
      <c r="C3" s="54"/>
      <c r="D3" s="54"/>
      <c r="E3" s="54"/>
      <c r="F3" s="54"/>
      <c r="G3" s="54"/>
      <c r="H3" s="54"/>
      <c r="I3" s="54"/>
    </row>
    <row r="4" spans="1:9" ht="51">
      <c r="A4" s="1" t="s">
        <v>1</v>
      </c>
      <c r="B4" s="2" t="str">
        <f>"Nazwa urządzenia"</f>
        <v>Nazwa urządzenia</v>
      </c>
      <c r="C4" s="2" t="str">
        <f>"Typ"</f>
        <v>Typ</v>
      </c>
      <c r="D4" s="2" t="str">
        <f>"Nr Seryjny"</f>
        <v>Nr Seryjny</v>
      </c>
      <c r="E4" s="2" t="str">
        <f>"Jednostka Organizacyjna"</f>
        <v>Jednostka Organizacyjna</v>
      </c>
      <c r="F4" s="2" t="str">
        <f>"Rok Produkcji"</f>
        <v>Rok Produkcji</v>
      </c>
      <c r="G4" s="2" t="str">
        <f>"Producent"</f>
        <v>Producent</v>
      </c>
      <c r="H4" s="2" t="str">
        <f>"Częst. przeglądu"</f>
        <v>Częst. przeglądu</v>
      </c>
      <c r="I4" s="2" t="s">
        <v>40</v>
      </c>
    </row>
    <row r="5" spans="1:9" ht="63.75">
      <c r="A5" s="56" t="s">
        <v>2</v>
      </c>
      <c r="B5" s="4" t="s">
        <v>45</v>
      </c>
      <c r="C5" s="4" t="s">
        <v>46</v>
      </c>
      <c r="D5" s="4" t="s">
        <v>47</v>
      </c>
      <c r="E5" s="67" t="str">
        <f>"Ponadreg. Centrum Chir. Endowaskularnej"</f>
        <v>Ponadreg. Centrum Chir. Endowaskularnej</v>
      </c>
      <c r="F5" s="67">
        <v>2011</v>
      </c>
      <c r="G5" s="67" t="str">
        <f>"Drager"</f>
        <v>Drager</v>
      </c>
      <c r="H5" s="67" t="s">
        <v>48</v>
      </c>
      <c r="I5" s="51" t="s">
        <v>118</v>
      </c>
    </row>
    <row r="6" spans="1:9" ht="38.25">
      <c r="A6" s="57"/>
      <c r="B6" s="2" t="str">
        <f>"Lampa operacyjna"</f>
        <v>Lampa operacyjna</v>
      </c>
      <c r="C6" s="2" t="str">
        <f>"Polaris 550 DC (G99188-05)"</f>
        <v>Polaris 550 DC (G99188-05)</v>
      </c>
      <c r="D6" s="2" t="str">
        <f>"100000006031"</f>
        <v>100000006031</v>
      </c>
      <c r="E6" s="68"/>
      <c r="F6" s="68"/>
      <c r="G6" s="68"/>
      <c r="H6" s="68"/>
      <c r="I6" s="52"/>
    </row>
    <row r="7" spans="1:9" ht="38.25">
      <c r="A7" s="57"/>
      <c r="B7" s="2" t="str">
        <f>"Lampa operacyjna"</f>
        <v>Lampa operacyjna</v>
      </c>
      <c r="C7" s="2" t="str">
        <f>"Polaris 700 DC (G99183-05)"</f>
        <v>Polaris 700 DC (G99183-05)</v>
      </c>
      <c r="D7" s="2" t="str">
        <f>"100000008760"</f>
        <v>100000008760</v>
      </c>
      <c r="E7" s="68"/>
      <c r="F7" s="68"/>
      <c r="G7" s="68"/>
      <c r="H7" s="68"/>
      <c r="I7" s="52"/>
    </row>
    <row r="8" spans="1:9" ht="25.5">
      <c r="A8" s="57"/>
      <c r="B8" s="2" t="s">
        <v>49</v>
      </c>
      <c r="C8" s="2" t="s">
        <v>50</v>
      </c>
      <c r="D8" s="2" t="s">
        <v>51</v>
      </c>
      <c r="E8" s="68"/>
      <c r="F8" s="68"/>
      <c r="G8" s="68"/>
      <c r="H8" s="68"/>
      <c r="I8" s="52"/>
    </row>
    <row r="9" spans="1:9" ht="38.25">
      <c r="A9" s="57"/>
      <c r="B9" s="2" t="s">
        <v>52</v>
      </c>
      <c r="C9" s="2" t="s">
        <v>53</v>
      </c>
      <c r="D9" s="5" t="s">
        <v>55</v>
      </c>
      <c r="E9" s="68"/>
      <c r="F9" s="68"/>
      <c r="G9" s="68"/>
      <c r="H9" s="68"/>
      <c r="I9" s="52"/>
    </row>
    <row r="10" spans="1:9" ht="38.25">
      <c r="A10" s="57"/>
      <c r="B10" s="2" t="s">
        <v>52</v>
      </c>
      <c r="C10" s="2" t="s">
        <v>54</v>
      </c>
      <c r="D10" s="5" t="s">
        <v>56</v>
      </c>
      <c r="E10" s="68"/>
      <c r="F10" s="68"/>
      <c r="G10" s="68"/>
      <c r="H10" s="68"/>
      <c r="I10" s="52"/>
    </row>
    <row r="11" spans="1:9" ht="25.5">
      <c r="A11" s="58"/>
      <c r="B11" s="2" t="s">
        <v>57</v>
      </c>
      <c r="C11" s="2" t="s">
        <v>58</v>
      </c>
      <c r="D11" s="2" t="s">
        <v>59</v>
      </c>
      <c r="E11" s="69"/>
      <c r="F11" s="69"/>
      <c r="G11" s="69"/>
      <c r="H11" s="69"/>
      <c r="I11" s="53"/>
    </row>
    <row r="12" spans="1:9" ht="38.25" customHeight="1">
      <c r="A12" s="1" t="s">
        <v>3</v>
      </c>
      <c r="B12" s="2" t="str">
        <f aca="true" t="shared" si="0" ref="B12:B17">"Lampa operacyjna"</f>
        <v>Lampa operacyjna</v>
      </c>
      <c r="C12" s="2" t="str">
        <f>"Sola 500"</f>
        <v>Sola 500</v>
      </c>
      <c r="D12" s="2" t="str">
        <f>"ASAN-0007"</f>
        <v>ASAN-0007</v>
      </c>
      <c r="E12" s="2" t="str">
        <f>"Oddz. Klin. Ginekologiczno-Położniczy"</f>
        <v>Oddz. Klin. Ginekologiczno-Położniczy</v>
      </c>
      <c r="F12" s="2">
        <v>2009</v>
      </c>
      <c r="G12" s="2" t="str">
        <f aca="true" t="shared" si="1" ref="G12:G17">"Drager"</f>
        <v>Drager</v>
      </c>
      <c r="H12" s="2" t="str">
        <f aca="true" t="shared" si="2" ref="H12:H17">"12 mies."</f>
        <v>12 mies.</v>
      </c>
      <c r="I12" s="2" t="s">
        <v>118</v>
      </c>
    </row>
    <row r="13" spans="1:9" ht="51">
      <c r="A13" s="1" t="s">
        <v>4</v>
      </c>
      <c r="B13" s="2" t="str">
        <f t="shared" si="0"/>
        <v>Lampa operacyjna</v>
      </c>
      <c r="C13" s="2" t="str">
        <f>"Sola 500"</f>
        <v>Sola 500</v>
      </c>
      <c r="D13" s="2" t="str">
        <f>"ASAN-0008 "</f>
        <v>ASAN-0008 </v>
      </c>
      <c r="E13" s="2" t="str">
        <f>"Pracownia Hemodynamiki"</f>
        <v>Pracownia Hemodynamiki</v>
      </c>
      <c r="F13" s="2">
        <v>2009</v>
      </c>
      <c r="G13" s="2" t="str">
        <f t="shared" si="1"/>
        <v>Drager</v>
      </c>
      <c r="H13" s="2" t="str">
        <f t="shared" si="2"/>
        <v>12 mies.</v>
      </c>
      <c r="I13" s="2" t="s">
        <v>118</v>
      </c>
    </row>
    <row r="14" spans="1:9" ht="51">
      <c r="A14" s="1" t="s">
        <v>5</v>
      </c>
      <c r="B14" s="2" t="str">
        <f t="shared" si="0"/>
        <v>Lampa operacyjna</v>
      </c>
      <c r="C14" s="2" t="str">
        <f>"Sola 700 DC Premium "</f>
        <v>Sola 700 DC Premium </v>
      </c>
      <c r="D14" s="2" t="str">
        <f>"ASAN-0011 "</f>
        <v>ASAN-0011 </v>
      </c>
      <c r="E14" s="2" t="str">
        <f>"Blok Porodowy"</f>
        <v>Blok Porodowy</v>
      </c>
      <c r="F14" s="2">
        <v>2009</v>
      </c>
      <c r="G14" s="2" t="str">
        <f t="shared" si="1"/>
        <v>Drager</v>
      </c>
      <c r="H14" s="2" t="str">
        <f t="shared" si="2"/>
        <v>12 mies.</v>
      </c>
      <c r="I14" s="2" t="s">
        <v>118</v>
      </c>
    </row>
    <row r="15" spans="1:9" ht="51">
      <c r="A15" s="1" t="s">
        <v>6</v>
      </c>
      <c r="B15" s="2" t="str">
        <f t="shared" si="0"/>
        <v>Lampa operacyjna</v>
      </c>
      <c r="C15" s="2" t="str">
        <f>"Sola 700 DC Premium "</f>
        <v>Sola 700 DC Premium </v>
      </c>
      <c r="D15" s="2" t="str">
        <f>"ASBK-0238"</f>
        <v>ASBK-0238</v>
      </c>
      <c r="E15" s="2" t="str">
        <f>"Oddz. Klin. Ginekologiczno-Położniczy"</f>
        <v>Oddz. Klin. Ginekologiczno-Położniczy</v>
      </c>
      <c r="F15" s="2">
        <v>2009</v>
      </c>
      <c r="G15" s="2" t="str">
        <f t="shared" si="1"/>
        <v>Drager</v>
      </c>
      <c r="H15" s="2" t="str">
        <f t="shared" si="2"/>
        <v>12 mies.</v>
      </c>
      <c r="I15" s="2" t="s">
        <v>118</v>
      </c>
    </row>
    <row r="16" spans="1:9" ht="51">
      <c r="A16" s="1" t="s">
        <v>7</v>
      </c>
      <c r="B16" s="2" t="str">
        <f t="shared" si="0"/>
        <v>Lampa operacyjna</v>
      </c>
      <c r="C16" s="2" t="str">
        <f>"Sola 700 DC Premium "</f>
        <v>Sola 700 DC Premium </v>
      </c>
      <c r="D16" s="2" t="str">
        <f>"ASAN-0009 "</f>
        <v>ASAN-0009 </v>
      </c>
      <c r="E16" s="2" t="str">
        <f>"Pracownia Elektrofizjologii"</f>
        <v>Pracownia Elektrofizjologii</v>
      </c>
      <c r="F16" s="2">
        <v>2009</v>
      </c>
      <c r="G16" s="2" t="str">
        <f t="shared" si="1"/>
        <v>Drager</v>
      </c>
      <c r="H16" s="2" t="str">
        <f t="shared" si="2"/>
        <v>12 mies.</v>
      </c>
      <c r="I16" s="2" t="s">
        <v>118</v>
      </c>
    </row>
    <row r="17" spans="1:9" ht="51">
      <c r="A17" s="1" t="s">
        <v>8</v>
      </c>
      <c r="B17" s="2" t="str">
        <f t="shared" si="0"/>
        <v>Lampa operacyjna</v>
      </c>
      <c r="C17" s="2" t="str">
        <f>"Sola 700 DC Premium "</f>
        <v>Sola 700 DC Premium </v>
      </c>
      <c r="D17" s="2" t="str">
        <f>"ASAN-0013"</f>
        <v>ASAN-0013</v>
      </c>
      <c r="E17" s="2" t="str">
        <f>"Pracownia Hemodynamiki"</f>
        <v>Pracownia Hemodynamiki</v>
      </c>
      <c r="F17" s="2">
        <v>2009</v>
      </c>
      <c r="G17" s="2" t="str">
        <f t="shared" si="1"/>
        <v>Drager</v>
      </c>
      <c r="H17" s="2" t="str">
        <f t="shared" si="2"/>
        <v>12 mies.</v>
      </c>
      <c r="I17" s="2" t="s">
        <v>118</v>
      </c>
    </row>
    <row r="19" spans="2:9" ht="15">
      <c r="B19" s="49" t="s">
        <v>38</v>
      </c>
      <c r="C19" s="49"/>
      <c r="G19" s="49" t="s">
        <v>39</v>
      </c>
      <c r="H19" s="49"/>
      <c r="I19" s="49"/>
    </row>
    <row r="24" spans="1:9" ht="21" customHeight="1">
      <c r="A24" s="72" t="s">
        <v>119</v>
      </c>
      <c r="B24" s="72"/>
      <c r="C24" s="72"/>
      <c r="D24" s="72"/>
      <c r="E24" s="72"/>
      <c r="F24" s="72"/>
      <c r="G24" s="72"/>
      <c r="H24" s="72"/>
      <c r="I24" s="72"/>
    </row>
    <row r="25" spans="1:9" ht="65.25" customHeight="1">
      <c r="A25" s="1" t="s">
        <v>1</v>
      </c>
      <c r="B25" s="2" t="str">
        <f>"Nazwa urządzenia"</f>
        <v>Nazwa urządzenia</v>
      </c>
      <c r="C25" s="2" t="str">
        <f>"Typ"</f>
        <v>Typ</v>
      </c>
      <c r="D25" s="2" t="str">
        <f>"Nr Seryjny"</f>
        <v>Nr Seryjny</v>
      </c>
      <c r="E25" s="2" t="str">
        <f>"Jednostka Organizacyjna"</f>
        <v>Jednostka Organizacyjna</v>
      </c>
      <c r="F25" s="2" t="str">
        <f>"Rok Produkcji"</f>
        <v>Rok Produkcji</v>
      </c>
      <c r="G25" s="2" t="str">
        <f>"Producent"</f>
        <v>Producent</v>
      </c>
      <c r="H25" s="2" t="str">
        <f>"Częst. przeglądu"</f>
        <v>Częst. przeglądu</v>
      </c>
      <c r="I25" s="2" t="s">
        <v>40</v>
      </c>
    </row>
    <row r="26" spans="1:9" ht="63.75">
      <c r="A26" s="59">
        <v>1</v>
      </c>
      <c r="B26" s="10" t="s">
        <v>45</v>
      </c>
      <c r="C26" s="10" t="s">
        <v>79</v>
      </c>
      <c r="D26" s="11" t="s">
        <v>80</v>
      </c>
      <c r="E26" s="48" t="s">
        <v>61</v>
      </c>
      <c r="F26" s="76">
        <v>2006</v>
      </c>
      <c r="G26" s="64" t="s">
        <v>81</v>
      </c>
      <c r="H26" s="73" t="s">
        <v>48</v>
      </c>
      <c r="I26" s="51" t="s">
        <v>118</v>
      </c>
    </row>
    <row r="27" spans="1:9" ht="26.25" thickBot="1">
      <c r="A27" s="60"/>
      <c r="B27" s="12" t="s">
        <v>49</v>
      </c>
      <c r="C27" s="13" t="s">
        <v>60</v>
      </c>
      <c r="D27" s="13">
        <v>701006</v>
      </c>
      <c r="E27" s="55"/>
      <c r="F27" s="77"/>
      <c r="G27" s="64"/>
      <c r="H27" s="74"/>
      <c r="I27" s="52"/>
    </row>
    <row r="28" spans="1:9" ht="26.25" thickBot="1">
      <c r="A28" s="60"/>
      <c r="B28" s="12" t="s">
        <v>41</v>
      </c>
      <c r="C28" s="13" t="s">
        <v>62</v>
      </c>
      <c r="D28" s="13">
        <v>100374309</v>
      </c>
      <c r="E28" s="55"/>
      <c r="F28" s="77"/>
      <c r="G28" s="64"/>
      <c r="H28" s="74"/>
      <c r="I28" s="52"/>
    </row>
    <row r="29" spans="1:9" ht="26.25" thickBot="1">
      <c r="A29" s="60"/>
      <c r="B29" s="12" t="s">
        <v>41</v>
      </c>
      <c r="C29" s="13" t="s">
        <v>63</v>
      </c>
      <c r="D29" s="13">
        <v>100445275</v>
      </c>
      <c r="E29" s="55"/>
      <c r="F29" s="77"/>
      <c r="G29" s="64"/>
      <c r="H29" s="74"/>
      <c r="I29" s="52"/>
    </row>
    <row r="30" spans="1:9" ht="26.25" thickBot="1">
      <c r="A30" s="60"/>
      <c r="B30" s="12" t="s">
        <v>41</v>
      </c>
      <c r="C30" s="13" t="s">
        <v>64</v>
      </c>
      <c r="D30" s="14">
        <v>100376347</v>
      </c>
      <c r="E30" s="55"/>
      <c r="F30" s="77"/>
      <c r="G30" s="64"/>
      <c r="H30" s="74"/>
      <c r="I30" s="52"/>
    </row>
    <row r="31" spans="1:9" ht="51.75" thickBot="1">
      <c r="A31" s="61"/>
      <c r="B31" s="12" t="s">
        <v>65</v>
      </c>
      <c r="C31" s="15" t="s">
        <v>66</v>
      </c>
      <c r="D31" s="12" t="s">
        <v>67</v>
      </c>
      <c r="E31" s="46"/>
      <c r="F31" s="47"/>
      <c r="G31" s="64"/>
      <c r="H31" s="75"/>
      <c r="I31" s="53"/>
    </row>
    <row r="32" spans="1:9" ht="76.5">
      <c r="A32" s="70">
        <v>2</v>
      </c>
      <c r="B32" s="10" t="s">
        <v>45</v>
      </c>
      <c r="C32" s="10" t="s">
        <v>79</v>
      </c>
      <c r="D32" s="17" t="s">
        <v>82</v>
      </c>
      <c r="E32" s="50" t="s">
        <v>69</v>
      </c>
      <c r="F32" s="79">
        <v>2006</v>
      </c>
      <c r="G32" s="50" t="s">
        <v>81</v>
      </c>
      <c r="H32" s="78" t="s">
        <v>48</v>
      </c>
      <c r="I32" s="59" t="s">
        <v>118</v>
      </c>
    </row>
    <row r="33" spans="1:9" ht="26.25" thickBot="1">
      <c r="A33" s="71"/>
      <c r="B33" s="12" t="s">
        <v>42</v>
      </c>
      <c r="C33" s="13" t="s">
        <v>68</v>
      </c>
      <c r="D33" s="15">
        <v>703018</v>
      </c>
      <c r="E33" s="50"/>
      <c r="F33" s="79"/>
      <c r="G33" s="50"/>
      <c r="H33" s="78"/>
      <c r="I33" s="60"/>
    </row>
    <row r="34" spans="1:9" ht="26.25" thickBot="1">
      <c r="A34" s="71"/>
      <c r="B34" s="12" t="s">
        <v>41</v>
      </c>
      <c r="C34" s="13" t="s">
        <v>63</v>
      </c>
      <c r="D34" s="15">
        <v>100357487</v>
      </c>
      <c r="E34" s="50"/>
      <c r="F34" s="79"/>
      <c r="G34" s="50"/>
      <c r="H34" s="78"/>
      <c r="I34" s="60"/>
    </row>
    <row r="35" spans="1:9" ht="26.25" thickBot="1">
      <c r="A35" s="71"/>
      <c r="B35" s="12" t="s">
        <v>41</v>
      </c>
      <c r="C35" s="13" t="s">
        <v>63</v>
      </c>
      <c r="D35" s="15">
        <v>100365654</v>
      </c>
      <c r="E35" s="50"/>
      <c r="F35" s="79"/>
      <c r="G35" s="50"/>
      <c r="H35" s="78"/>
      <c r="I35" s="60"/>
    </row>
    <row r="36" spans="1:9" ht="51.75" thickBot="1">
      <c r="A36" s="71"/>
      <c r="B36" s="12" t="s">
        <v>65</v>
      </c>
      <c r="C36" s="13" t="s">
        <v>66</v>
      </c>
      <c r="D36" s="15" t="s">
        <v>70</v>
      </c>
      <c r="E36" s="50"/>
      <c r="F36" s="79"/>
      <c r="G36" s="50"/>
      <c r="H36" s="78"/>
      <c r="I36" s="60"/>
    </row>
    <row r="37" spans="1:9" ht="26.25" thickBot="1">
      <c r="A37" s="71"/>
      <c r="B37" s="12" t="s">
        <v>71</v>
      </c>
      <c r="C37" s="13" t="s">
        <v>72</v>
      </c>
      <c r="D37" s="15">
        <v>704005</v>
      </c>
      <c r="E37" s="50"/>
      <c r="F37" s="79"/>
      <c r="G37" s="50"/>
      <c r="H37" s="78"/>
      <c r="I37" s="60"/>
    </row>
    <row r="38" spans="1:9" ht="15.75" thickBot="1">
      <c r="A38" s="71"/>
      <c r="B38" s="12" t="s">
        <v>43</v>
      </c>
      <c r="C38" s="13" t="s">
        <v>60</v>
      </c>
      <c r="D38" s="15">
        <v>701004</v>
      </c>
      <c r="E38" s="50"/>
      <c r="F38" s="79"/>
      <c r="G38" s="50"/>
      <c r="H38" s="78"/>
      <c r="I38" s="61"/>
    </row>
    <row r="39" spans="1:9" ht="63.75">
      <c r="A39" s="51">
        <v>3</v>
      </c>
      <c r="B39" s="10" t="s">
        <v>83</v>
      </c>
      <c r="C39" s="10" t="s">
        <v>79</v>
      </c>
      <c r="D39" s="17" t="s">
        <v>85</v>
      </c>
      <c r="E39" s="50" t="s">
        <v>69</v>
      </c>
      <c r="F39" s="50">
        <v>2006</v>
      </c>
      <c r="G39" s="50" t="s">
        <v>81</v>
      </c>
      <c r="H39" s="50" t="s">
        <v>48</v>
      </c>
      <c r="I39" s="59" t="s">
        <v>118</v>
      </c>
    </row>
    <row r="40" spans="1:9" ht="26.25" thickBot="1">
      <c r="A40" s="52"/>
      <c r="B40" s="18" t="s">
        <v>42</v>
      </c>
      <c r="C40" s="13" t="s">
        <v>68</v>
      </c>
      <c r="D40" s="15">
        <v>703004</v>
      </c>
      <c r="E40" s="50"/>
      <c r="F40" s="50"/>
      <c r="G40" s="50"/>
      <c r="H40" s="50"/>
      <c r="I40" s="60"/>
    </row>
    <row r="41" spans="1:9" ht="26.25" thickBot="1">
      <c r="A41" s="52"/>
      <c r="B41" s="12" t="s">
        <v>41</v>
      </c>
      <c r="C41" s="13" t="s">
        <v>63</v>
      </c>
      <c r="D41" s="15">
        <v>100369156</v>
      </c>
      <c r="E41" s="50"/>
      <c r="F41" s="50"/>
      <c r="G41" s="50"/>
      <c r="H41" s="50"/>
      <c r="I41" s="60"/>
    </row>
    <row r="42" spans="1:9" ht="26.25" thickBot="1">
      <c r="A42" s="52"/>
      <c r="B42" s="12" t="s">
        <v>41</v>
      </c>
      <c r="C42" s="13" t="s">
        <v>63</v>
      </c>
      <c r="D42" s="15">
        <v>100357486</v>
      </c>
      <c r="E42" s="50"/>
      <c r="F42" s="50"/>
      <c r="G42" s="50"/>
      <c r="H42" s="50"/>
      <c r="I42" s="60"/>
    </row>
    <row r="43" spans="1:9" ht="51.75" thickBot="1">
      <c r="A43" s="52"/>
      <c r="B43" s="12" t="s">
        <v>65</v>
      </c>
      <c r="C43" s="13" t="s">
        <v>66</v>
      </c>
      <c r="D43" s="15" t="s">
        <v>73</v>
      </c>
      <c r="E43" s="50"/>
      <c r="F43" s="50"/>
      <c r="G43" s="50"/>
      <c r="H43" s="50"/>
      <c r="I43" s="60"/>
    </row>
    <row r="44" spans="1:9" ht="26.25" thickBot="1">
      <c r="A44" s="52"/>
      <c r="B44" s="12" t="s">
        <v>71</v>
      </c>
      <c r="C44" s="13" t="s">
        <v>72</v>
      </c>
      <c r="D44" s="15">
        <v>704001</v>
      </c>
      <c r="E44" s="50"/>
      <c r="F44" s="50"/>
      <c r="G44" s="50"/>
      <c r="H44" s="50"/>
      <c r="I44" s="60"/>
    </row>
    <row r="45" spans="1:9" ht="15.75" thickBot="1">
      <c r="A45" s="53"/>
      <c r="B45" s="12" t="s">
        <v>43</v>
      </c>
      <c r="C45" s="13" t="s">
        <v>60</v>
      </c>
      <c r="D45" s="15" t="s">
        <v>74</v>
      </c>
      <c r="E45" s="50"/>
      <c r="F45" s="50"/>
      <c r="G45" s="50"/>
      <c r="H45" s="50"/>
      <c r="I45" s="61"/>
    </row>
    <row r="46" spans="1:9" ht="63.75">
      <c r="A46" s="50">
        <v>4</v>
      </c>
      <c r="B46" s="10" t="s">
        <v>83</v>
      </c>
      <c r="C46" s="10" t="s">
        <v>79</v>
      </c>
      <c r="D46" s="17" t="s">
        <v>86</v>
      </c>
      <c r="E46" s="64" t="s">
        <v>61</v>
      </c>
      <c r="F46" s="64">
        <v>2006</v>
      </c>
      <c r="G46" s="64" t="s">
        <v>81</v>
      </c>
      <c r="H46" s="62" t="s">
        <v>84</v>
      </c>
      <c r="I46" s="51" t="s">
        <v>118</v>
      </c>
    </row>
    <row r="47" spans="1:9" ht="26.25" thickBot="1">
      <c r="A47" s="50"/>
      <c r="B47" s="12" t="s">
        <v>49</v>
      </c>
      <c r="C47" s="13" t="s">
        <v>60</v>
      </c>
      <c r="D47" s="15">
        <v>701018</v>
      </c>
      <c r="E47" s="64"/>
      <c r="F47" s="64"/>
      <c r="G47" s="64"/>
      <c r="H47" s="62"/>
      <c r="I47" s="52"/>
    </row>
    <row r="48" spans="1:9" ht="26.25" thickBot="1">
      <c r="A48" s="50"/>
      <c r="B48" s="12" t="s">
        <v>41</v>
      </c>
      <c r="C48" s="13" t="s">
        <v>62</v>
      </c>
      <c r="D48" s="15">
        <v>100378728</v>
      </c>
      <c r="E48" s="64"/>
      <c r="F48" s="64"/>
      <c r="G48" s="64"/>
      <c r="H48" s="62"/>
      <c r="I48" s="52"/>
    </row>
    <row r="49" spans="1:9" ht="26.25" thickBot="1">
      <c r="A49" s="50"/>
      <c r="B49" s="12" t="s">
        <v>41</v>
      </c>
      <c r="C49" s="13" t="s">
        <v>63</v>
      </c>
      <c r="D49" s="15">
        <v>100445263</v>
      </c>
      <c r="E49" s="64"/>
      <c r="F49" s="64"/>
      <c r="G49" s="64"/>
      <c r="H49" s="62"/>
      <c r="I49" s="52"/>
    </row>
    <row r="50" spans="1:9" ht="26.25" thickBot="1">
      <c r="A50" s="50"/>
      <c r="B50" s="12" t="s">
        <v>41</v>
      </c>
      <c r="C50" s="13" t="s">
        <v>64</v>
      </c>
      <c r="D50" s="15">
        <v>100376348</v>
      </c>
      <c r="E50" s="64"/>
      <c r="F50" s="64"/>
      <c r="G50" s="64"/>
      <c r="H50" s="62"/>
      <c r="I50" s="52"/>
    </row>
    <row r="51" spans="1:9" ht="51.75" thickBot="1">
      <c r="A51" s="50"/>
      <c r="B51" s="12" t="s">
        <v>65</v>
      </c>
      <c r="C51" s="13" t="s">
        <v>66</v>
      </c>
      <c r="D51" s="15" t="s">
        <v>75</v>
      </c>
      <c r="E51" s="64"/>
      <c r="F51" s="64"/>
      <c r="G51" s="64"/>
      <c r="H51" s="63"/>
      <c r="I51" s="53"/>
    </row>
    <row r="52" spans="1:9" ht="52.5">
      <c r="A52" s="76">
        <v>5</v>
      </c>
      <c r="B52" s="7" t="s">
        <v>83</v>
      </c>
      <c r="C52" s="10" t="s">
        <v>79</v>
      </c>
      <c r="D52" s="16" t="s">
        <v>87</v>
      </c>
      <c r="E52" s="82" t="s">
        <v>76</v>
      </c>
      <c r="F52" s="82">
        <v>2006</v>
      </c>
      <c r="G52" s="64" t="s">
        <v>81</v>
      </c>
      <c r="H52" s="82" t="s">
        <v>48</v>
      </c>
      <c r="I52" s="51" t="s">
        <v>118</v>
      </c>
    </row>
    <row r="53" spans="1:9" ht="23.25" thickBot="1">
      <c r="A53" s="77"/>
      <c r="B53" s="8" t="s">
        <v>42</v>
      </c>
      <c r="C53" s="6" t="s">
        <v>68</v>
      </c>
      <c r="D53" s="9">
        <v>703010</v>
      </c>
      <c r="E53" s="82"/>
      <c r="F53" s="82"/>
      <c r="G53" s="64"/>
      <c r="H53" s="82"/>
      <c r="I53" s="52"/>
    </row>
    <row r="54" spans="1:9" ht="23.25" thickBot="1">
      <c r="A54" s="77"/>
      <c r="B54" s="8" t="s">
        <v>41</v>
      </c>
      <c r="C54" s="6" t="s">
        <v>63</v>
      </c>
      <c r="D54" s="9">
        <v>100369158</v>
      </c>
      <c r="E54" s="82"/>
      <c r="F54" s="82"/>
      <c r="G54" s="64"/>
      <c r="H54" s="82"/>
      <c r="I54" s="52"/>
    </row>
    <row r="55" spans="1:9" ht="23.25" thickBot="1">
      <c r="A55" s="77"/>
      <c r="B55" s="8" t="s">
        <v>41</v>
      </c>
      <c r="C55" s="6" t="s">
        <v>63</v>
      </c>
      <c r="D55" s="9">
        <v>100369167</v>
      </c>
      <c r="E55" s="82"/>
      <c r="F55" s="82"/>
      <c r="G55" s="64"/>
      <c r="H55" s="82"/>
      <c r="I55" s="52"/>
    </row>
    <row r="56" spans="1:9" ht="34.5" thickBot="1">
      <c r="A56" s="77"/>
      <c r="B56" s="8" t="s">
        <v>65</v>
      </c>
      <c r="C56" s="6" t="s">
        <v>66</v>
      </c>
      <c r="D56" s="9" t="s">
        <v>77</v>
      </c>
      <c r="E56" s="82"/>
      <c r="F56" s="82"/>
      <c r="G56" s="64"/>
      <c r="H56" s="82"/>
      <c r="I56" s="52"/>
    </row>
    <row r="57" spans="1:9" ht="23.25" thickBot="1">
      <c r="A57" s="77"/>
      <c r="B57" s="8" t="s">
        <v>71</v>
      </c>
      <c r="C57" s="6" t="s">
        <v>72</v>
      </c>
      <c r="D57" s="9">
        <v>704009</v>
      </c>
      <c r="E57" s="82"/>
      <c r="F57" s="82"/>
      <c r="G57" s="64"/>
      <c r="H57" s="82"/>
      <c r="I57" s="52"/>
    </row>
    <row r="58" spans="1:9" ht="15.75" thickBot="1">
      <c r="A58" s="47"/>
      <c r="B58" s="8" t="s">
        <v>43</v>
      </c>
      <c r="C58" s="6" t="s">
        <v>60</v>
      </c>
      <c r="D58" s="9">
        <v>703008</v>
      </c>
      <c r="E58" s="82"/>
      <c r="F58" s="82"/>
      <c r="G58" s="64"/>
      <c r="H58" s="82"/>
      <c r="I58" s="53"/>
    </row>
    <row r="59" spans="1:10" ht="76.5">
      <c r="A59" s="76">
        <v>6</v>
      </c>
      <c r="B59" s="10" t="s">
        <v>45</v>
      </c>
      <c r="C59" s="10" t="s">
        <v>79</v>
      </c>
      <c r="D59" s="17" t="s">
        <v>91</v>
      </c>
      <c r="E59" s="64" t="s">
        <v>76</v>
      </c>
      <c r="F59" s="64">
        <v>2006</v>
      </c>
      <c r="G59" s="64" t="s">
        <v>81</v>
      </c>
      <c r="H59" s="80" t="s">
        <v>48</v>
      </c>
      <c r="I59" s="51" t="s">
        <v>118</v>
      </c>
      <c r="J59" s="19"/>
    </row>
    <row r="60" spans="1:10" ht="26.25" thickBot="1">
      <c r="A60" s="77"/>
      <c r="B60" s="12" t="s">
        <v>42</v>
      </c>
      <c r="C60" s="13" t="s">
        <v>68</v>
      </c>
      <c r="D60" s="15">
        <v>703005</v>
      </c>
      <c r="E60" s="64"/>
      <c r="F60" s="64"/>
      <c r="G60" s="64"/>
      <c r="H60" s="80"/>
      <c r="I60" s="52"/>
      <c r="J60" s="19"/>
    </row>
    <row r="61" spans="1:10" ht="26.25" thickBot="1">
      <c r="A61" s="77"/>
      <c r="B61" s="12" t="s">
        <v>41</v>
      </c>
      <c r="C61" s="13" t="s">
        <v>63</v>
      </c>
      <c r="D61" s="15">
        <v>100270166</v>
      </c>
      <c r="E61" s="64"/>
      <c r="F61" s="64"/>
      <c r="G61" s="64"/>
      <c r="H61" s="80"/>
      <c r="I61" s="52"/>
      <c r="J61" s="19"/>
    </row>
    <row r="62" spans="1:10" ht="26.25" thickBot="1">
      <c r="A62" s="77"/>
      <c r="B62" s="12" t="s">
        <v>41</v>
      </c>
      <c r="C62" s="13" t="s">
        <v>63</v>
      </c>
      <c r="D62" s="15">
        <v>100369164</v>
      </c>
      <c r="E62" s="64"/>
      <c r="F62" s="64"/>
      <c r="G62" s="64"/>
      <c r="H62" s="80"/>
      <c r="I62" s="52"/>
      <c r="J62" s="19"/>
    </row>
    <row r="63" spans="1:10" ht="51.75" thickBot="1">
      <c r="A63" s="77"/>
      <c r="B63" s="12" t="s">
        <v>65</v>
      </c>
      <c r="C63" s="13" t="s">
        <v>66</v>
      </c>
      <c r="D63" s="15" t="s">
        <v>78</v>
      </c>
      <c r="E63" s="64"/>
      <c r="F63" s="64"/>
      <c r="G63" s="64"/>
      <c r="H63" s="80"/>
      <c r="I63" s="52"/>
      <c r="J63" s="19"/>
    </row>
    <row r="64" spans="1:10" ht="26.25" thickBot="1">
      <c r="A64" s="77"/>
      <c r="B64" s="12" t="s">
        <v>71</v>
      </c>
      <c r="C64" s="13" t="s">
        <v>72</v>
      </c>
      <c r="D64" s="15">
        <v>704000</v>
      </c>
      <c r="E64" s="64"/>
      <c r="F64" s="64"/>
      <c r="G64" s="64"/>
      <c r="H64" s="80"/>
      <c r="I64" s="52"/>
      <c r="J64" s="19"/>
    </row>
    <row r="65" spans="1:10" ht="15">
      <c r="A65" s="47"/>
      <c r="B65" s="20" t="s">
        <v>43</v>
      </c>
      <c r="C65" s="14" t="s">
        <v>60</v>
      </c>
      <c r="D65" s="21">
        <v>703002</v>
      </c>
      <c r="E65" s="67"/>
      <c r="F65" s="67"/>
      <c r="G65" s="67"/>
      <c r="H65" s="81"/>
      <c r="I65" s="53"/>
      <c r="J65" s="19"/>
    </row>
    <row r="66" spans="1:9" ht="51">
      <c r="A66" s="22">
        <v>7</v>
      </c>
      <c r="B66" s="2" t="s">
        <v>41</v>
      </c>
      <c r="C66" s="2" t="s">
        <v>88</v>
      </c>
      <c r="D66" s="5" t="s">
        <v>89</v>
      </c>
      <c r="E66" s="2" t="s">
        <v>90</v>
      </c>
      <c r="F66" s="2">
        <v>2011</v>
      </c>
      <c r="G66" s="2" t="s">
        <v>81</v>
      </c>
      <c r="H66" s="2" t="s">
        <v>48</v>
      </c>
      <c r="I66" s="2" t="s">
        <v>118</v>
      </c>
    </row>
    <row r="68" spans="2:9" ht="15">
      <c r="B68" s="49" t="s">
        <v>38</v>
      </c>
      <c r="C68" s="49"/>
      <c r="G68" s="49" t="s">
        <v>39</v>
      </c>
      <c r="H68" s="49"/>
      <c r="I68" s="49"/>
    </row>
    <row r="72" spans="1:9" ht="15">
      <c r="A72" s="66" t="s">
        <v>92</v>
      </c>
      <c r="B72" s="66"/>
      <c r="C72" s="66"/>
      <c r="D72" s="66"/>
      <c r="E72" s="66"/>
      <c r="F72" s="66"/>
      <c r="G72" s="66"/>
      <c r="H72" s="66"/>
      <c r="I72" s="66"/>
    </row>
    <row r="74" spans="1:9" ht="51">
      <c r="A74" s="1" t="s">
        <v>1</v>
      </c>
      <c r="B74" s="2" t="str">
        <f>"Nazwa urządzenia"</f>
        <v>Nazwa urządzenia</v>
      </c>
      <c r="C74" s="2" t="str">
        <f>"Typ"</f>
        <v>Typ</v>
      </c>
      <c r="D74" s="2" t="str">
        <f>"Nr Seryjny"</f>
        <v>Nr Seryjny</v>
      </c>
      <c r="E74" s="2" t="str">
        <f>"Jednostka Organizacyjna"</f>
        <v>Jednostka Organizacyjna</v>
      </c>
      <c r="F74" s="2" t="str">
        <f>"Rok Produkcji"</f>
        <v>Rok Produkcji</v>
      </c>
      <c r="G74" s="2" t="str">
        <f>"Producent"</f>
        <v>Producent</v>
      </c>
      <c r="H74" s="2" t="str">
        <f>"Częst. przeglądu"</f>
        <v>Częst. przeglądu</v>
      </c>
      <c r="I74" s="2" t="s">
        <v>40</v>
      </c>
    </row>
    <row r="75" spans="1:9" ht="51">
      <c r="A75" s="1" t="s">
        <v>2</v>
      </c>
      <c r="B75" s="2" t="str">
        <f aca="true" t="shared" si="3" ref="B75:B80">"Stół operacyjny"</f>
        <v>Stół operacyjny</v>
      </c>
      <c r="C75" s="2" t="str">
        <f aca="true" t="shared" si="4" ref="C75:C80">"Genius"</f>
        <v>Genius</v>
      </c>
      <c r="D75" s="2" t="str">
        <f>"STA-1125 "</f>
        <v>STA-1125 </v>
      </c>
      <c r="E75" s="2" t="str">
        <f>"Oddz. Klin. Okulistyczny"</f>
        <v>Oddz. Klin. Okulistyczny</v>
      </c>
      <c r="F75" s="2">
        <v>2011</v>
      </c>
      <c r="G75" s="2" t="str">
        <f aca="true" t="shared" si="5" ref="G75:G80">"BRUMABA"</f>
        <v>BRUMABA</v>
      </c>
      <c r="H75" s="2" t="str">
        <f aca="true" t="shared" si="6" ref="H75:H80">"12 mies."</f>
        <v>12 mies.</v>
      </c>
      <c r="I75" s="2" t="s">
        <v>118</v>
      </c>
    </row>
    <row r="76" spans="1:9" ht="51">
      <c r="A76" s="1" t="s">
        <v>3</v>
      </c>
      <c r="B76" s="2" t="str">
        <f t="shared" si="3"/>
        <v>Stół operacyjny</v>
      </c>
      <c r="C76" s="2" t="str">
        <f t="shared" si="4"/>
        <v>Genius</v>
      </c>
      <c r="D76" s="2" t="str">
        <f>"STN-1026"</f>
        <v>STN-1026</v>
      </c>
      <c r="E76" s="2" t="str">
        <f>"Oddz. Klin. Okulistyczny Dziecięcy"</f>
        <v>Oddz. Klin. Okulistyczny Dziecięcy</v>
      </c>
      <c r="F76" s="2">
        <v>2011</v>
      </c>
      <c r="G76" s="2" t="str">
        <f t="shared" si="5"/>
        <v>BRUMABA</v>
      </c>
      <c r="H76" s="2" t="str">
        <f t="shared" si="6"/>
        <v>12 mies.</v>
      </c>
      <c r="I76" s="2" t="s">
        <v>118</v>
      </c>
    </row>
    <row r="77" spans="1:9" ht="51">
      <c r="A77" s="1" t="s">
        <v>4</v>
      </c>
      <c r="B77" s="2" t="str">
        <f t="shared" si="3"/>
        <v>Stół operacyjny</v>
      </c>
      <c r="C77" s="2" t="str">
        <f t="shared" si="4"/>
        <v>Genius</v>
      </c>
      <c r="D77" s="2" t="str">
        <f>"STA-1124 "</f>
        <v>STA-1124 </v>
      </c>
      <c r="E77" s="2" t="str">
        <f>"Sala Op.Przykliniczna Okulistyczna"</f>
        <v>Sala Op.Przykliniczna Okulistyczna</v>
      </c>
      <c r="F77" s="2">
        <v>2011</v>
      </c>
      <c r="G77" s="2" t="str">
        <f t="shared" si="5"/>
        <v>BRUMABA</v>
      </c>
      <c r="H77" s="2" t="str">
        <f t="shared" si="6"/>
        <v>12 mies.</v>
      </c>
      <c r="I77" s="2" t="s">
        <v>118</v>
      </c>
    </row>
    <row r="78" spans="1:9" ht="51">
      <c r="A78" s="1" t="s">
        <v>5</v>
      </c>
      <c r="B78" s="2" t="str">
        <f t="shared" si="3"/>
        <v>Stół operacyjny</v>
      </c>
      <c r="C78" s="2" t="str">
        <f t="shared" si="4"/>
        <v>Genius</v>
      </c>
      <c r="D78" s="2" t="str">
        <f>"STA-1126 "</f>
        <v>STA-1126 </v>
      </c>
      <c r="E78" s="2" t="str">
        <f>"Sala Op.Przykliniczna Okulistyczna"</f>
        <v>Sala Op.Przykliniczna Okulistyczna</v>
      </c>
      <c r="F78" s="2">
        <v>2011</v>
      </c>
      <c r="G78" s="2" t="str">
        <f t="shared" si="5"/>
        <v>BRUMABA</v>
      </c>
      <c r="H78" s="2" t="str">
        <f t="shared" si="6"/>
        <v>12 mies.</v>
      </c>
      <c r="I78" s="2" t="s">
        <v>118</v>
      </c>
    </row>
    <row r="79" spans="1:9" ht="51">
      <c r="A79" s="1" t="s">
        <v>6</v>
      </c>
      <c r="B79" s="2" t="str">
        <f t="shared" si="3"/>
        <v>Stół operacyjny</v>
      </c>
      <c r="C79" s="2" t="str">
        <f t="shared" si="4"/>
        <v>Genius</v>
      </c>
      <c r="D79" s="2" t="str">
        <f>"STA-1127 "</f>
        <v>STA-1127 </v>
      </c>
      <c r="E79" s="2" t="str">
        <f>"Sala Op.Przykliniczna Okulistyczna"</f>
        <v>Sala Op.Przykliniczna Okulistyczna</v>
      </c>
      <c r="F79" s="2">
        <v>2011</v>
      </c>
      <c r="G79" s="2" t="str">
        <f t="shared" si="5"/>
        <v>BRUMABA</v>
      </c>
      <c r="H79" s="2" t="str">
        <f t="shared" si="6"/>
        <v>12 mies.</v>
      </c>
      <c r="I79" s="2" t="s">
        <v>118</v>
      </c>
    </row>
    <row r="80" spans="1:9" ht="51">
      <c r="A80" s="1" t="s">
        <v>7</v>
      </c>
      <c r="B80" s="2" t="str">
        <f t="shared" si="3"/>
        <v>Stół operacyjny</v>
      </c>
      <c r="C80" s="2" t="str">
        <f t="shared" si="4"/>
        <v>Genius</v>
      </c>
      <c r="D80" s="2" t="str">
        <f>"STA-1128 "</f>
        <v>STA-1128 </v>
      </c>
      <c r="E80" s="2" t="str">
        <f>"Sala Op.Przykliniczna Okulistyczna"</f>
        <v>Sala Op.Przykliniczna Okulistyczna</v>
      </c>
      <c r="F80" s="2">
        <v>2011</v>
      </c>
      <c r="G80" s="2" t="str">
        <f t="shared" si="5"/>
        <v>BRUMABA</v>
      </c>
      <c r="H80" s="2" t="str">
        <f t="shared" si="6"/>
        <v>12 mies.</v>
      </c>
      <c r="I80" s="2" t="s">
        <v>118</v>
      </c>
    </row>
    <row r="82" spans="2:9" ht="15">
      <c r="B82" s="49" t="s">
        <v>38</v>
      </c>
      <c r="C82" s="49"/>
      <c r="G82" s="49" t="s">
        <v>39</v>
      </c>
      <c r="H82" s="49"/>
      <c r="I82" s="49"/>
    </row>
    <row r="87" spans="1:9" ht="15">
      <c r="A87" s="54" t="s">
        <v>93</v>
      </c>
      <c r="B87" s="54"/>
      <c r="C87" s="54"/>
      <c r="D87" s="54"/>
      <c r="E87" s="54"/>
      <c r="F87" s="54"/>
      <c r="G87" s="54"/>
      <c r="H87" s="54"/>
      <c r="I87" s="54"/>
    </row>
    <row r="89" spans="1:9" ht="51">
      <c r="A89" s="1" t="s">
        <v>1</v>
      </c>
      <c r="B89" s="2" t="str">
        <f>"Nazwa urządzenia"</f>
        <v>Nazwa urządzenia</v>
      </c>
      <c r="C89" s="2" t="str">
        <f>"Typ"</f>
        <v>Typ</v>
      </c>
      <c r="D89" s="2" t="str">
        <f>"Nr Seryjny"</f>
        <v>Nr Seryjny</v>
      </c>
      <c r="E89" s="2" t="str">
        <f>"Jednostka Organizacyjna"</f>
        <v>Jednostka Organizacyjna</v>
      </c>
      <c r="F89" s="2" t="str">
        <f>"Rok Produkcji"</f>
        <v>Rok Produkcji</v>
      </c>
      <c r="G89" s="2" t="str">
        <f>"Producent"</f>
        <v>Producent</v>
      </c>
      <c r="H89" s="2" t="str">
        <f>"Częst. przeglądu"</f>
        <v>Częst. przeglądu</v>
      </c>
      <c r="I89" s="2" t="s">
        <v>40</v>
      </c>
    </row>
    <row r="90" spans="1:9" ht="51">
      <c r="A90" s="1" t="s">
        <v>2</v>
      </c>
      <c r="B90" s="2" t="str">
        <f>"Stół operacyjno - zabiegowy, mobilny"</f>
        <v>Stół operacyjno - zabiegowy, mobilny</v>
      </c>
      <c r="C90" s="2" t="str">
        <f>"SZ-01.5 (TYP SO10)"</f>
        <v>SZ-01.5 (TYP SO10)</v>
      </c>
      <c r="D90" s="2" t="str">
        <f>"1207/00871"</f>
        <v>1207/00871</v>
      </c>
      <c r="E90" s="2" t="str">
        <f>"Oddz. Klin. Chirurgii Szczękowo-Twarzowej"</f>
        <v>Oddz. Klin. Chirurgii Szczękowo-Twarzowej</v>
      </c>
      <c r="F90" s="2">
        <v>2007</v>
      </c>
      <c r="G90" s="2" t="str">
        <f>"FAMED ŻYWIEC Sp. z o.o."</f>
        <v>FAMED ŻYWIEC Sp. z o.o.</v>
      </c>
      <c r="H90" s="2" t="str">
        <f>"12 mies."</f>
        <v>12 mies.</v>
      </c>
      <c r="I90" s="2" t="s">
        <v>118</v>
      </c>
    </row>
    <row r="91" spans="1:9" ht="51">
      <c r="A91" s="1" t="s">
        <v>3</v>
      </c>
      <c r="B91" s="2" t="str">
        <f>"Stół operacyjny"</f>
        <v>Stół operacyjny</v>
      </c>
      <c r="C91" s="2" t="str">
        <f>"SU-03.0"</f>
        <v>SU-03.0</v>
      </c>
      <c r="D91" s="2" t="str">
        <f>"0207/00442 "</f>
        <v>0207/00442 </v>
      </c>
      <c r="E91" s="2" t="s">
        <v>0</v>
      </c>
      <c r="F91" s="2">
        <v>2007</v>
      </c>
      <c r="G91" s="2" t="str">
        <f>"FAMED ŻYWIEC Sp. z o.o."</f>
        <v>FAMED ŻYWIEC Sp. z o.o.</v>
      </c>
      <c r="H91" s="2" t="str">
        <f>"12 mies."</f>
        <v>12 mies.</v>
      </c>
      <c r="I91" s="2" t="s">
        <v>118</v>
      </c>
    </row>
    <row r="92" spans="1:9" ht="51">
      <c r="A92" s="1" t="s">
        <v>4</v>
      </c>
      <c r="B92" s="2" t="str">
        <f>"Stół operacyjny"</f>
        <v>Stół operacyjny</v>
      </c>
      <c r="C92" s="2" t="str">
        <f>"SU-07O/N-538/05"</f>
        <v>SU-07O/N-538/05</v>
      </c>
      <c r="D92" s="2" t="str">
        <f>"1205/00019"</f>
        <v>1205/00019</v>
      </c>
      <c r="E92" s="2" t="str">
        <f>"Dział Diagnostyki Endoskopowej"</f>
        <v>Dział Diagnostyki Endoskopowej</v>
      </c>
      <c r="F92" s="2">
        <v>2005</v>
      </c>
      <c r="G92" s="2" t="str">
        <f>"FAMED ŻYWIEC Sp. z o.o."</f>
        <v>FAMED ŻYWIEC Sp. z o.o.</v>
      </c>
      <c r="H92" s="2" t="str">
        <f>"12 mies."</f>
        <v>12 mies.</v>
      </c>
      <c r="I92" s="2" t="s">
        <v>118</v>
      </c>
    </row>
    <row r="93" spans="1:9" ht="38.25">
      <c r="A93" s="1" t="s">
        <v>5</v>
      </c>
      <c r="B93" s="2" t="str">
        <f>"Stół operacyjny"</f>
        <v>Stół operacyjny</v>
      </c>
      <c r="C93" s="2" t="str">
        <f>"SU-08"</f>
        <v>SU-08</v>
      </c>
      <c r="D93" s="2" t="str">
        <f>"1207/00042 "</f>
        <v>1207/00042 </v>
      </c>
      <c r="E93" s="2" t="str">
        <f>"Szpitalny Oddział Ratunkowy-Klin.Med.Rat"</f>
        <v>Szpitalny Oddział Ratunkowy-Klin.Med.Rat</v>
      </c>
      <c r="F93" s="2">
        <v>2007</v>
      </c>
      <c r="G93" s="2" t="str">
        <f>"FAMED ŻYWIEC Sp. z o.o."</f>
        <v>FAMED ŻYWIEC Sp. z o.o.</v>
      </c>
      <c r="H93" s="2" t="str">
        <f>"12 mies."</f>
        <v>12 mies.</v>
      </c>
      <c r="I93" s="2" t="str">
        <f>"2019-02-28"</f>
        <v>2019-02-28</v>
      </c>
    </row>
    <row r="94" spans="1:9" ht="38.25">
      <c r="A94" s="1" t="s">
        <v>6</v>
      </c>
      <c r="B94" s="2" t="str">
        <f>"Stół operacyjny"</f>
        <v>Stół operacyjny</v>
      </c>
      <c r="C94" s="2" t="str">
        <f>"SU-08"</f>
        <v>SU-08</v>
      </c>
      <c r="D94" s="2" t="str">
        <f>"0907/00036"</f>
        <v>0907/00036</v>
      </c>
      <c r="E94" s="2" t="str">
        <f>"Szpitalny Oddział Ratunkowy-Klin.Med.Rat"</f>
        <v>Szpitalny Oddział Ratunkowy-Klin.Med.Rat</v>
      </c>
      <c r="F94" s="2">
        <v>2007</v>
      </c>
      <c r="G94" s="2" t="str">
        <f>"FAMED ŻYWIEC Sp. z o.o."</f>
        <v>FAMED ŻYWIEC Sp. z o.o.</v>
      </c>
      <c r="H94" s="2" t="str">
        <f>"12 mies."</f>
        <v>12 mies.</v>
      </c>
      <c r="I94" s="2" t="str">
        <f>"2019-02-28"</f>
        <v>2019-02-28</v>
      </c>
    </row>
    <row r="96" spans="2:9" ht="15">
      <c r="B96" s="49" t="s">
        <v>38</v>
      </c>
      <c r="C96" s="49"/>
      <c r="G96" s="49" t="s">
        <v>39</v>
      </c>
      <c r="H96" s="49"/>
      <c r="I96" s="49"/>
    </row>
    <row r="101" spans="1:9" ht="15">
      <c r="A101" s="54" t="s">
        <v>94</v>
      </c>
      <c r="B101" s="54"/>
      <c r="C101" s="54"/>
      <c r="D101" s="54"/>
      <c r="E101" s="54"/>
      <c r="F101" s="54"/>
      <c r="G101" s="54"/>
      <c r="H101" s="54"/>
      <c r="I101" s="54"/>
    </row>
    <row r="103" spans="1:9" ht="51">
      <c r="A103" s="1" t="s">
        <v>1</v>
      </c>
      <c r="B103" s="2" t="str">
        <f>"Nazwa urządzenia"</f>
        <v>Nazwa urządzenia</v>
      </c>
      <c r="C103" s="2" t="str">
        <f>"Typ"</f>
        <v>Typ</v>
      </c>
      <c r="D103" s="2" t="str">
        <f>"Nr Seryjny"</f>
        <v>Nr Seryjny</v>
      </c>
      <c r="E103" s="2" t="str">
        <f>"Jednostka Organizacyjna"</f>
        <v>Jednostka Organizacyjna</v>
      </c>
      <c r="F103" s="2" t="str">
        <f>"Rok Produkcji"</f>
        <v>Rok Produkcji</v>
      </c>
      <c r="G103" s="2" t="str">
        <f>"Producent"</f>
        <v>Producent</v>
      </c>
      <c r="H103" s="2" t="str">
        <f>"Częst. przeglądu"</f>
        <v>Częst. przeglądu</v>
      </c>
      <c r="I103" s="2" t="s">
        <v>40</v>
      </c>
    </row>
    <row r="104" spans="1:9" ht="51">
      <c r="A104" s="1" t="s">
        <v>2</v>
      </c>
      <c r="B104" s="2" t="str">
        <f>"Stół operacyjny"</f>
        <v>Stół operacyjny</v>
      </c>
      <c r="C104" s="2" t="str">
        <f>"Dr Max 7000s"</f>
        <v>Dr Max 7000s</v>
      </c>
      <c r="D104" s="2" t="str">
        <f>"A158-K2-0002 "</f>
        <v>A158-K2-0002 </v>
      </c>
      <c r="E104" s="2" t="str">
        <f>"Blok Porodowy"</f>
        <v>Blok Porodowy</v>
      </c>
      <c r="F104" s="2">
        <v>2011</v>
      </c>
      <c r="G104" s="2" t="str">
        <f>"Trident Med."</f>
        <v>Trident Med.</v>
      </c>
      <c r="H104" s="2" t="str">
        <f>"12 mies."</f>
        <v>12 mies.</v>
      </c>
      <c r="I104" s="2" t="s">
        <v>118</v>
      </c>
    </row>
    <row r="105" spans="1:9" ht="51">
      <c r="A105" s="1" t="s">
        <v>3</v>
      </c>
      <c r="B105" s="2" t="str">
        <f>"Stół operacyjny"</f>
        <v>Stół operacyjny</v>
      </c>
      <c r="C105" s="2" t="str">
        <f>"Dr Max 7000s"</f>
        <v>Dr Max 7000s</v>
      </c>
      <c r="D105" s="2" t="str">
        <f>"A158-K2-0003 "</f>
        <v>A158-K2-0003 </v>
      </c>
      <c r="E105" s="2" t="str">
        <f>"Blok Porodowy"</f>
        <v>Blok Porodowy</v>
      </c>
      <c r="F105" s="2">
        <v>2011</v>
      </c>
      <c r="G105" s="2" t="str">
        <f>"Trident Med."</f>
        <v>Trident Med.</v>
      </c>
      <c r="H105" s="2" t="str">
        <f>"12 mies."</f>
        <v>12 mies.</v>
      </c>
      <c r="I105" s="2" t="s">
        <v>118</v>
      </c>
    </row>
    <row r="106" spans="1:9" ht="51">
      <c r="A106" s="1" t="s">
        <v>4</v>
      </c>
      <c r="B106" s="2" t="str">
        <f>"Stół operacyjny"</f>
        <v>Stół operacyjny</v>
      </c>
      <c r="C106" s="2" t="str">
        <f>"Dr Max 7000s"</f>
        <v>Dr Max 7000s</v>
      </c>
      <c r="D106" s="2" t="str">
        <f>"A158-K2-0004"</f>
        <v>A158-K2-0004</v>
      </c>
      <c r="E106" s="2" t="str">
        <f>"Oddz. Klin. Anestezjologii i Inten.Terapii"</f>
        <v>Oddz. Klin. Anestezjologii i Inten.Terapii</v>
      </c>
      <c r="F106" s="2">
        <v>2011</v>
      </c>
      <c r="G106" s="2" t="str">
        <f>"Trident Med."</f>
        <v>Trident Med.</v>
      </c>
      <c r="H106" s="2" t="str">
        <f>"12 mies."</f>
        <v>12 mies.</v>
      </c>
      <c r="I106" s="2" t="s">
        <v>118</v>
      </c>
    </row>
    <row r="107" ht="15">
      <c r="A107" s="24"/>
    </row>
    <row r="108" spans="2:9" ht="15">
      <c r="B108" s="49" t="s">
        <v>38</v>
      </c>
      <c r="C108" s="49"/>
      <c r="G108" s="49" t="s">
        <v>39</v>
      </c>
      <c r="H108" s="49"/>
      <c r="I108" s="49"/>
    </row>
    <row r="114" spans="1:9" ht="26.25" customHeight="1">
      <c r="A114" s="54" t="s">
        <v>120</v>
      </c>
      <c r="B114" s="54"/>
      <c r="C114" s="54"/>
      <c r="D114" s="54"/>
      <c r="E114" s="54"/>
      <c r="F114" s="54"/>
      <c r="G114" s="54"/>
      <c r="H114" s="54"/>
      <c r="I114" s="54"/>
    </row>
    <row r="116" spans="1:9" ht="51">
      <c r="A116" s="1" t="s">
        <v>1</v>
      </c>
      <c r="B116" s="2" t="str">
        <f>"Nazwa urządzenia"</f>
        <v>Nazwa urządzenia</v>
      </c>
      <c r="C116" s="2" t="str">
        <f>"Typ"</f>
        <v>Typ</v>
      </c>
      <c r="D116" s="2" t="str">
        <f>"Nr Seryjny"</f>
        <v>Nr Seryjny</v>
      </c>
      <c r="E116" s="2" t="str">
        <f>"Jednostka Organizacyjna"</f>
        <v>Jednostka Organizacyjna</v>
      </c>
      <c r="F116" s="2" t="str">
        <f>"Rok Produkcji"</f>
        <v>Rok Produkcji</v>
      </c>
      <c r="G116" s="2" t="str">
        <f>"Producent"</f>
        <v>Producent</v>
      </c>
      <c r="H116" s="2" t="str">
        <f>"Częst. przeglądu"</f>
        <v>Częst. przeglądu</v>
      </c>
      <c r="I116" s="2" t="s">
        <v>40</v>
      </c>
    </row>
    <row r="117" spans="1:9" ht="51">
      <c r="A117" s="1" t="s">
        <v>2</v>
      </c>
      <c r="B117" s="2" t="s">
        <v>95</v>
      </c>
      <c r="C117" s="2" t="str">
        <f>"AutoPuls "</f>
        <v>AutoPuls </v>
      </c>
      <c r="D117" s="2" t="str">
        <f>"11397R "</f>
        <v>11397R </v>
      </c>
      <c r="E117" s="2" t="str">
        <f>"Szpitalny Oddział Ratunkowy-Klin.Med.Rat"</f>
        <v>Szpitalny Oddział Ratunkowy-Klin.Med.Rat</v>
      </c>
      <c r="F117" s="2">
        <v>2009</v>
      </c>
      <c r="G117" s="2" t="str">
        <f>"Zoll"</f>
        <v>Zoll</v>
      </c>
      <c r="H117" s="2" t="str">
        <f>"12 mies."</f>
        <v>12 mies.</v>
      </c>
      <c r="I117" s="2" t="s">
        <v>118</v>
      </c>
    </row>
    <row r="118" spans="1:9" ht="51">
      <c r="A118" s="1" t="s">
        <v>3</v>
      </c>
      <c r="B118" s="2" t="s">
        <v>95</v>
      </c>
      <c r="C118" s="2" t="str">
        <f>"AutoPuls Plus "</f>
        <v>AutoPuls Plus </v>
      </c>
      <c r="D118" s="2" t="str">
        <f>"40059 "</f>
        <v>40059 </v>
      </c>
      <c r="E118" s="2" t="str">
        <f>"Pracownia Hemodynamiki"</f>
        <v>Pracownia Hemodynamiki</v>
      </c>
      <c r="F118" s="2">
        <v>2011</v>
      </c>
      <c r="G118" s="2" t="str">
        <f>"Zoll"</f>
        <v>Zoll</v>
      </c>
      <c r="H118" s="2" t="str">
        <f>"12 mies."</f>
        <v>12 mies.</v>
      </c>
      <c r="I118" s="2" t="s">
        <v>118</v>
      </c>
    </row>
    <row r="119" spans="1:9" ht="51">
      <c r="A119" s="1" t="s">
        <v>4</v>
      </c>
      <c r="B119" s="2" t="s">
        <v>95</v>
      </c>
      <c r="C119" s="2" t="str">
        <f>"LUCAS TM"</f>
        <v>LUCAS TM</v>
      </c>
      <c r="D119" s="2" t="str">
        <f>"14074180 "</f>
        <v>14074180 </v>
      </c>
      <c r="E119" s="2" t="str">
        <f>"Pracownia Hemodynamiki"</f>
        <v>Pracownia Hemodynamiki</v>
      </c>
      <c r="F119" s="2">
        <v>2007</v>
      </c>
      <c r="G119" s="2" t="str">
        <f>"JOLIFE AB"</f>
        <v>JOLIFE AB</v>
      </c>
      <c r="H119" s="2" t="str">
        <f>"12 mies."</f>
        <v>12 mies.</v>
      </c>
      <c r="I119" s="2" t="s">
        <v>118</v>
      </c>
    </row>
    <row r="121" spans="2:9" ht="15">
      <c r="B121" s="49" t="s">
        <v>38</v>
      </c>
      <c r="C121" s="49"/>
      <c r="G121" s="49" t="s">
        <v>39</v>
      </c>
      <c r="H121" s="49"/>
      <c r="I121" s="49"/>
    </row>
    <row r="126" spans="1:9" ht="24.75" customHeight="1">
      <c r="A126" s="54" t="s">
        <v>96</v>
      </c>
      <c r="B126" s="54"/>
      <c r="C126" s="54"/>
      <c r="D126" s="54"/>
      <c r="E126" s="54"/>
      <c r="F126" s="54"/>
      <c r="G126" s="54"/>
      <c r="H126" s="54"/>
      <c r="I126" s="54"/>
    </row>
    <row r="128" spans="1:9" ht="51">
      <c r="A128" s="1" t="s">
        <v>1</v>
      </c>
      <c r="B128" s="2" t="str">
        <f>"Nazwa urządzenia"</f>
        <v>Nazwa urządzenia</v>
      </c>
      <c r="C128" s="2" t="str">
        <f>"Typ"</f>
        <v>Typ</v>
      </c>
      <c r="D128" s="2" t="str">
        <f>"Nr Seryjny"</f>
        <v>Nr Seryjny</v>
      </c>
      <c r="E128" s="2" t="str">
        <f>"Jednostka Organizacyjna"</f>
        <v>Jednostka Organizacyjna</v>
      </c>
      <c r="F128" s="2" t="str">
        <f>"Rok Produkcji"</f>
        <v>Rok Produkcji</v>
      </c>
      <c r="G128" s="2" t="str">
        <f>"Producent"</f>
        <v>Producent</v>
      </c>
      <c r="H128" s="2" t="str">
        <f>"Częst. przeglądu"</f>
        <v>Częst. przeglądu</v>
      </c>
      <c r="I128" s="2" t="s">
        <v>40</v>
      </c>
    </row>
    <row r="129" spans="1:9" ht="51">
      <c r="A129" s="56" t="s">
        <v>2</v>
      </c>
      <c r="B129" s="4" t="str">
        <f>"Aparat do fakoemulsyfikacji oraz witrektomii"</f>
        <v>Aparat do fakoemulsyfikacji oraz witrektomii</v>
      </c>
      <c r="C129" s="4" t="str">
        <f>"associate 2500 6700.C"</f>
        <v>associate 2500 6700.C</v>
      </c>
      <c r="D129" s="4" t="str">
        <f>"201151779 + 0967 + 00298 "</f>
        <v>201151779 + 0967 + 00298 </v>
      </c>
      <c r="E129" s="51" t="str">
        <f>"Sala Op.Przykliniczna Okulistyczna"</f>
        <v>Sala Op.Przykliniczna Okulistyczna</v>
      </c>
      <c r="F129" s="51">
        <v>2011</v>
      </c>
      <c r="G129" s="51" t="str">
        <f>"DORC"</f>
        <v>DORC</v>
      </c>
      <c r="H129" s="51" t="str">
        <f>"12 mies."</f>
        <v>12 mies.</v>
      </c>
      <c r="I129" s="2" t="s">
        <v>118</v>
      </c>
    </row>
    <row r="130" spans="1:9" ht="51">
      <c r="A130" s="57"/>
      <c r="B130" s="2" t="str">
        <f>"Kroplówka automatyczna"</f>
        <v>Kroplówka automatyczna</v>
      </c>
      <c r="C130" s="2" t="str">
        <f>"-"</f>
        <v>-</v>
      </c>
      <c r="D130" s="2" t="str">
        <f>"0967 "</f>
        <v>0967 </v>
      </c>
      <c r="E130" s="52"/>
      <c r="F130" s="52"/>
      <c r="G130" s="52"/>
      <c r="H130" s="52"/>
      <c r="I130" s="2" t="s">
        <v>118</v>
      </c>
    </row>
    <row r="131" spans="1:9" ht="51">
      <c r="A131" s="58"/>
      <c r="B131" s="2" t="str">
        <f>"Sterownik nożny "</f>
        <v>Sterownik nożny </v>
      </c>
      <c r="C131" s="2" t="str">
        <f>"-"</f>
        <v>-</v>
      </c>
      <c r="D131" s="2" t="str">
        <f>"00298 "</f>
        <v>00298 </v>
      </c>
      <c r="E131" s="53"/>
      <c r="F131" s="53"/>
      <c r="G131" s="53"/>
      <c r="H131" s="53"/>
      <c r="I131" s="2" t="s">
        <v>118</v>
      </c>
    </row>
    <row r="132" spans="1:9" ht="51">
      <c r="A132" s="50">
        <v>2</v>
      </c>
      <c r="B132" s="4" t="str">
        <f>"Aparat do fakoemulsyfikacji oraz witrektomii"</f>
        <v>Aparat do fakoemulsyfikacji oraz witrektomii</v>
      </c>
      <c r="C132" s="4" t="str">
        <f>"associate 2500 6700.C"</f>
        <v>associate 2500 6700.C</v>
      </c>
      <c r="D132" s="4" t="str">
        <f>"200751455 "</f>
        <v>200751455 </v>
      </c>
      <c r="E132" s="51" t="str">
        <f>"Sala Op.Przykliniczna Okulistyczna"</f>
        <v>Sala Op.Przykliniczna Okulistyczna</v>
      </c>
      <c r="F132" s="51">
        <v>2007</v>
      </c>
      <c r="G132" s="51" t="str">
        <f>"DORC"</f>
        <v>DORC</v>
      </c>
      <c r="H132" s="51" t="str">
        <f>"12 mies."</f>
        <v>12 mies.</v>
      </c>
      <c r="I132" s="2" t="s">
        <v>118</v>
      </c>
    </row>
    <row r="133" spans="1:9" ht="51">
      <c r="A133" s="50"/>
      <c r="B133" s="2" t="str">
        <f>"Kompresor"</f>
        <v>Kompresor</v>
      </c>
      <c r="C133" s="2" t="str">
        <f>"Silent Blue"</f>
        <v>Silent Blue</v>
      </c>
      <c r="D133" s="2" t="str">
        <f>"000709454"</f>
        <v>000709454</v>
      </c>
      <c r="E133" s="52"/>
      <c r="F133" s="52"/>
      <c r="G133" s="52"/>
      <c r="H133" s="52"/>
      <c r="I133" s="2" t="s">
        <v>118</v>
      </c>
    </row>
    <row r="134" spans="1:9" ht="51">
      <c r="A134" s="50"/>
      <c r="B134" s="2" t="str">
        <f>"Kroplówka automatyczna"</f>
        <v>Kroplówka automatyczna</v>
      </c>
      <c r="C134" s="2" t="str">
        <f>"-"</f>
        <v>-</v>
      </c>
      <c r="D134" s="2" t="str">
        <f>"0756 "</f>
        <v>0756 </v>
      </c>
      <c r="E134" s="52"/>
      <c r="F134" s="52"/>
      <c r="G134" s="52"/>
      <c r="H134" s="52"/>
      <c r="I134" s="2" t="s">
        <v>118</v>
      </c>
    </row>
    <row r="135" spans="1:9" ht="51">
      <c r="A135" s="50"/>
      <c r="B135" s="2" t="str">
        <f>"Sterownik nożny "</f>
        <v>Sterownik nożny </v>
      </c>
      <c r="C135" s="2" t="str">
        <f>"-"</f>
        <v>-</v>
      </c>
      <c r="D135" s="2" t="str">
        <f>"1.0892 "</f>
        <v>1.0892 </v>
      </c>
      <c r="E135" s="52"/>
      <c r="F135" s="52"/>
      <c r="G135" s="52"/>
      <c r="H135" s="52"/>
      <c r="I135" s="2" t="s">
        <v>118</v>
      </c>
    </row>
    <row r="136" spans="1:9" ht="51">
      <c r="A136" s="50"/>
      <c r="B136" s="2" t="str">
        <f>"Źródło światła "</f>
        <v>Źródło światła </v>
      </c>
      <c r="C136" s="2" t="str">
        <f>"Xenon Brightstar"</f>
        <v>Xenon Brightstar</v>
      </c>
      <c r="D136" s="2" t="str">
        <f>"200883456 (200783408)"</f>
        <v>200883456 (200783408)</v>
      </c>
      <c r="E136" s="53"/>
      <c r="F136" s="53"/>
      <c r="G136" s="53"/>
      <c r="H136" s="53"/>
      <c r="I136" s="2" t="s">
        <v>118</v>
      </c>
    </row>
    <row r="138" spans="2:9" ht="15">
      <c r="B138" s="49" t="s">
        <v>38</v>
      </c>
      <c r="C138" s="49"/>
      <c r="G138" s="49" t="s">
        <v>39</v>
      </c>
      <c r="H138" s="49"/>
      <c r="I138" s="49"/>
    </row>
    <row r="143" spans="1:9" ht="25.5" customHeight="1">
      <c r="A143" s="54" t="s">
        <v>110</v>
      </c>
      <c r="B143" s="54"/>
      <c r="C143" s="54"/>
      <c r="D143" s="54"/>
      <c r="E143" s="54"/>
      <c r="F143" s="54"/>
      <c r="G143" s="54"/>
      <c r="H143" s="54"/>
      <c r="I143" s="54"/>
    </row>
    <row r="145" spans="1:9" ht="51">
      <c r="A145" s="26" t="s">
        <v>1</v>
      </c>
      <c r="B145" s="26" t="s">
        <v>97</v>
      </c>
      <c r="C145" s="26" t="s">
        <v>98</v>
      </c>
      <c r="D145" s="26" t="s">
        <v>103</v>
      </c>
      <c r="E145" s="26" t="s">
        <v>104</v>
      </c>
      <c r="F145" s="2" t="str">
        <f>"Rok Produkcji"</f>
        <v>Rok Produkcji</v>
      </c>
      <c r="G145" s="2" t="str">
        <f>"Częst. przeglądu"</f>
        <v>Częst. przeglądu</v>
      </c>
      <c r="H145" s="26" t="s">
        <v>105</v>
      </c>
      <c r="I145" s="26" t="s">
        <v>106</v>
      </c>
    </row>
    <row r="146" spans="1:9" ht="76.5">
      <c r="A146" s="28">
        <v>1</v>
      </c>
      <c r="B146" s="26" t="s">
        <v>99</v>
      </c>
      <c r="C146" s="26" t="s">
        <v>100</v>
      </c>
      <c r="D146" s="26" t="s">
        <v>107</v>
      </c>
      <c r="E146" s="26" t="s">
        <v>108</v>
      </c>
      <c r="F146" s="26">
        <v>2008</v>
      </c>
      <c r="G146" s="27" t="s">
        <v>122</v>
      </c>
      <c r="H146" s="26" t="s">
        <v>48</v>
      </c>
      <c r="I146" s="2" t="s">
        <v>118</v>
      </c>
    </row>
    <row r="147" spans="1:9" ht="51">
      <c r="A147" s="28">
        <v>2</v>
      </c>
      <c r="B147" s="26" t="s">
        <v>101</v>
      </c>
      <c r="C147" s="26" t="s">
        <v>102</v>
      </c>
      <c r="D147" s="26" t="s">
        <v>109</v>
      </c>
      <c r="E147" s="26" t="s">
        <v>108</v>
      </c>
      <c r="F147" s="26">
        <v>2012</v>
      </c>
      <c r="G147" s="27" t="s">
        <v>122</v>
      </c>
      <c r="H147" s="26" t="s">
        <v>48</v>
      </c>
      <c r="I147" s="2" t="s">
        <v>118</v>
      </c>
    </row>
    <row r="149" spans="2:9" ht="15">
      <c r="B149" s="65" t="s">
        <v>38</v>
      </c>
      <c r="C149" s="65"/>
      <c r="D149" s="3"/>
      <c r="E149" s="3"/>
      <c r="F149" s="3"/>
      <c r="G149" s="65" t="s">
        <v>39</v>
      </c>
      <c r="H149" s="65"/>
      <c r="I149" s="65"/>
    </row>
    <row r="154" spans="1:9" ht="15">
      <c r="A154" s="66" t="s">
        <v>111</v>
      </c>
      <c r="B154" s="66"/>
      <c r="C154" s="66"/>
      <c r="D154" s="66"/>
      <c r="E154" s="66"/>
      <c r="F154" s="66"/>
      <c r="G154" s="66"/>
      <c r="H154" s="66"/>
      <c r="I154" s="66"/>
    </row>
    <row r="156" spans="1:9" ht="51">
      <c r="A156" s="29" t="s">
        <v>1</v>
      </c>
      <c r="B156" s="2" t="str">
        <f>"Nazwa urządzenia"</f>
        <v>Nazwa urządzenia</v>
      </c>
      <c r="C156" s="2" t="str">
        <f>"Typ"</f>
        <v>Typ</v>
      </c>
      <c r="D156" s="2" t="str">
        <f>"Nr Seryjny"</f>
        <v>Nr Seryjny</v>
      </c>
      <c r="E156" s="2" t="str">
        <f>"Jednostka Organizacyjna"</f>
        <v>Jednostka Organizacyjna</v>
      </c>
      <c r="F156" s="2" t="str">
        <f>"Rok Produkcji"</f>
        <v>Rok Produkcji</v>
      </c>
      <c r="G156" s="2" t="str">
        <f>"Producent"</f>
        <v>Producent</v>
      </c>
      <c r="H156" s="2" t="str">
        <f>"Częst. przeglądu"</f>
        <v>Częst. przeglądu</v>
      </c>
      <c r="I156" s="2" t="s">
        <v>40</v>
      </c>
    </row>
    <row r="157" spans="1:9" ht="51">
      <c r="A157" s="30" t="s">
        <v>2</v>
      </c>
      <c r="B157" s="2" t="str">
        <f aca="true" t="shared" si="7" ref="B157:B164">"Lampa zabiegowa 3-ogniskowa  statywowa"</f>
        <v>Lampa zabiegowa 3-ogniskowa  statywowa</v>
      </c>
      <c r="C157" s="2" t="str">
        <f aca="true" t="shared" si="8" ref="C157:C164">"Fam-Lux LO-03.3"</f>
        <v>Fam-Lux LO-03.3</v>
      </c>
      <c r="D157" s="2" t="str">
        <f>"1206/00037 "</f>
        <v>1206/00037 </v>
      </c>
      <c r="E157" s="2" t="str">
        <f>"Oddz. Klin. Anestezjologii i Inten.Terapii"</f>
        <v>Oddz. Klin. Anestezjologii i Inten.Terapii</v>
      </c>
      <c r="F157" s="2">
        <v>2006</v>
      </c>
      <c r="G157" s="2" t="str">
        <f aca="true" t="shared" si="9" ref="G157:G192">"FAMED ŻYWIEC Sp. z o.o."</f>
        <v>FAMED ŻYWIEC Sp. z o.o.</v>
      </c>
      <c r="H157" s="2" t="str">
        <f aca="true" t="shared" si="10" ref="H157:H163">"12 mies."</f>
        <v>12 mies.</v>
      </c>
      <c r="I157" s="2" t="s">
        <v>118</v>
      </c>
    </row>
    <row r="158" spans="1:9" ht="51">
      <c r="A158" s="30" t="s">
        <v>3</v>
      </c>
      <c r="B158" s="2" t="str">
        <f t="shared" si="7"/>
        <v>Lampa zabiegowa 3-ogniskowa  statywowa</v>
      </c>
      <c r="C158" s="2" t="str">
        <f t="shared" si="8"/>
        <v>Fam-Lux LO-03.3</v>
      </c>
      <c r="D158" s="2" t="str">
        <f>"1206/00032 "</f>
        <v>1206/00032 </v>
      </c>
      <c r="E158" s="2" t="str">
        <f>"Oddz. Klin. Angiologii, Nad.Tętn, Diabet."</f>
        <v>Oddz. Klin. Angiologii, Nad.Tętn, Diabet.</v>
      </c>
      <c r="F158" s="2">
        <v>2006</v>
      </c>
      <c r="G158" s="2" t="str">
        <f t="shared" si="9"/>
        <v>FAMED ŻYWIEC Sp. z o.o.</v>
      </c>
      <c r="H158" s="2" t="str">
        <f t="shared" si="10"/>
        <v>12 mies.</v>
      </c>
      <c r="I158" s="2" t="s">
        <v>118</v>
      </c>
    </row>
    <row r="159" spans="1:9" ht="51">
      <c r="A159" s="30" t="s">
        <v>4</v>
      </c>
      <c r="B159" s="2" t="str">
        <f t="shared" si="7"/>
        <v>Lampa zabiegowa 3-ogniskowa  statywowa</v>
      </c>
      <c r="C159" s="2" t="str">
        <f t="shared" si="8"/>
        <v>Fam-Lux LO-03.3</v>
      </c>
      <c r="D159" s="2" t="str">
        <f>"1206/00030 "</f>
        <v>1206/00030 </v>
      </c>
      <c r="E159" s="2" t="str">
        <f>"Oddz. Klin. Chir.Naczyniowej, Chir.Ogólnej"</f>
        <v>Oddz. Klin. Chir.Naczyniowej, Chir.Ogólnej</v>
      </c>
      <c r="F159" s="2">
        <v>2006</v>
      </c>
      <c r="G159" s="2" t="str">
        <f t="shared" si="9"/>
        <v>FAMED ŻYWIEC Sp. z o.o.</v>
      </c>
      <c r="H159" s="2" t="str">
        <f t="shared" si="10"/>
        <v>12 mies.</v>
      </c>
      <c r="I159" s="2" t="s">
        <v>118</v>
      </c>
    </row>
    <row r="160" spans="1:9" ht="51">
      <c r="A160" s="30" t="s">
        <v>5</v>
      </c>
      <c r="B160" s="2" t="str">
        <f t="shared" si="7"/>
        <v>Lampa zabiegowa 3-ogniskowa  statywowa</v>
      </c>
      <c r="C160" s="2" t="str">
        <f t="shared" si="8"/>
        <v>Fam-Lux LO-03.3</v>
      </c>
      <c r="D160" s="2" t="str">
        <f>"0208/00318"</f>
        <v>0208/00318</v>
      </c>
      <c r="E160" s="2" t="str">
        <f>"Oddz. Klin. Chirurgii Szczękowo-Twarzowej"</f>
        <v>Oddz. Klin. Chirurgii Szczękowo-Twarzowej</v>
      </c>
      <c r="F160" s="2">
        <v>2008</v>
      </c>
      <c r="G160" s="2" t="str">
        <f t="shared" si="9"/>
        <v>FAMED ŻYWIEC Sp. z o.o.</v>
      </c>
      <c r="H160" s="2" t="str">
        <f t="shared" si="10"/>
        <v>12 mies.</v>
      </c>
      <c r="I160" s="2" t="s">
        <v>118</v>
      </c>
    </row>
    <row r="161" spans="1:9" ht="51">
      <c r="A161" s="30" t="s">
        <v>6</v>
      </c>
      <c r="B161" s="2" t="str">
        <f t="shared" si="7"/>
        <v>Lampa zabiegowa 3-ogniskowa  statywowa</v>
      </c>
      <c r="C161" s="2" t="str">
        <f t="shared" si="8"/>
        <v>Fam-Lux LO-03.3</v>
      </c>
      <c r="D161" s="2" t="str">
        <f>"1206/00036"</f>
        <v>1206/00036</v>
      </c>
      <c r="E161" s="2" t="str">
        <f>"Oddz. Klin. Neurochirurgiczny z P-oddz.IOM"</f>
        <v>Oddz. Klin. Neurochirurgiczny z P-oddz.IOM</v>
      </c>
      <c r="F161" s="2"/>
      <c r="G161" s="2" t="str">
        <f t="shared" si="9"/>
        <v>FAMED ŻYWIEC Sp. z o.o.</v>
      </c>
      <c r="H161" s="2" t="str">
        <f t="shared" si="10"/>
        <v>12 mies.</v>
      </c>
      <c r="I161" s="2" t="s">
        <v>118</v>
      </c>
    </row>
    <row r="162" spans="1:9" ht="51">
      <c r="A162" s="30" t="s">
        <v>7</v>
      </c>
      <c r="B162" s="2" t="str">
        <f t="shared" si="7"/>
        <v>Lampa zabiegowa 3-ogniskowa  statywowa</v>
      </c>
      <c r="C162" s="2" t="str">
        <f t="shared" si="8"/>
        <v>Fam-Lux LO-03.3</v>
      </c>
      <c r="D162" s="2" t="str">
        <f>"1206/00033 "</f>
        <v>1206/00033 </v>
      </c>
      <c r="E162" s="2" t="str">
        <f>"Oddz. Klin. Urologiczny"</f>
        <v>Oddz. Klin. Urologiczny</v>
      </c>
      <c r="F162" s="2">
        <v>2006</v>
      </c>
      <c r="G162" s="2" t="str">
        <f t="shared" si="9"/>
        <v>FAMED ŻYWIEC Sp. z o.o.</v>
      </c>
      <c r="H162" s="2" t="str">
        <f t="shared" si="10"/>
        <v>12 mies.</v>
      </c>
      <c r="I162" s="2" t="s">
        <v>118</v>
      </c>
    </row>
    <row r="163" spans="1:9" ht="51">
      <c r="A163" s="30" t="s">
        <v>8</v>
      </c>
      <c r="B163" s="2" t="str">
        <f t="shared" si="7"/>
        <v>Lampa zabiegowa 3-ogniskowa  statywowa</v>
      </c>
      <c r="C163" s="2" t="str">
        <f t="shared" si="8"/>
        <v>Fam-Lux LO-03.3</v>
      </c>
      <c r="D163" s="2" t="str">
        <f>"1206/00031 "</f>
        <v>1206/00031 </v>
      </c>
      <c r="E163" s="2" t="str">
        <f>"Oddz. Klin.Chir.Małoinwazyjnej i Proktol."</f>
        <v>Oddz. Klin.Chir.Małoinwazyjnej i Proktol.</v>
      </c>
      <c r="F163" s="2">
        <v>2006</v>
      </c>
      <c r="G163" s="2" t="str">
        <f t="shared" si="9"/>
        <v>FAMED ŻYWIEC Sp. z o.o.</v>
      </c>
      <c r="H163" s="2" t="str">
        <f t="shared" si="10"/>
        <v>12 mies.</v>
      </c>
      <c r="I163" s="2" t="s">
        <v>118</v>
      </c>
    </row>
    <row r="164" spans="1:9" ht="51">
      <c r="A164" s="30" t="s">
        <v>9</v>
      </c>
      <c r="B164" s="2" t="str">
        <f t="shared" si="7"/>
        <v>Lampa zabiegowa 3-ogniskowa  statywowa</v>
      </c>
      <c r="C164" s="2" t="str">
        <f t="shared" si="8"/>
        <v>Fam-Lux LO-03.3</v>
      </c>
      <c r="D164" s="2" t="str">
        <f>"0608/00356 "</f>
        <v>0608/00356 </v>
      </c>
      <c r="E164" s="2" t="str">
        <f>"Szpitalny Oddział Ratunkowy-Klin.Med.Rat"</f>
        <v>Szpitalny Oddział Ratunkowy-Klin.Med.Rat</v>
      </c>
      <c r="F164" s="2">
        <v>2008</v>
      </c>
      <c r="G164" s="2" t="str">
        <f t="shared" si="9"/>
        <v>FAMED ŻYWIEC Sp. z o.o.</v>
      </c>
      <c r="H164" s="2" t="str">
        <f>"24 mies."</f>
        <v>24 mies.</v>
      </c>
      <c r="I164" s="2" t="s">
        <v>118</v>
      </c>
    </row>
    <row r="165" spans="1:9" ht="51">
      <c r="A165" s="30" t="s">
        <v>10</v>
      </c>
      <c r="B165" s="2" t="str">
        <f aca="true" t="shared" si="11" ref="B165:B192">"Lampa zabiegowa na statywie jezdnym"</f>
        <v>Lampa zabiegowa na statywie jezdnym</v>
      </c>
      <c r="C165" s="2" t="str">
        <f aca="true" t="shared" si="12" ref="C165:C192">"Scan-LUX LB-01.3"</f>
        <v>Scan-LUX LB-01.3</v>
      </c>
      <c r="D165" s="2" t="str">
        <f>"0507/00163"</f>
        <v>0507/00163</v>
      </c>
      <c r="E165" s="2" t="str">
        <f>"Dział Anestezjologii"</f>
        <v>Dział Anestezjologii</v>
      </c>
      <c r="F165" s="2"/>
      <c r="G165" s="2" t="str">
        <f t="shared" si="9"/>
        <v>FAMED ŻYWIEC Sp. z o.o.</v>
      </c>
      <c r="H165" s="2" t="str">
        <f aca="true" t="shared" si="13" ref="H165:H192">"12 mies."</f>
        <v>12 mies.</v>
      </c>
      <c r="I165" s="2" t="s">
        <v>118</v>
      </c>
    </row>
    <row r="166" spans="1:9" ht="51">
      <c r="A166" s="30" t="s">
        <v>11</v>
      </c>
      <c r="B166" s="2" t="str">
        <f t="shared" si="11"/>
        <v>Lampa zabiegowa na statywie jezdnym</v>
      </c>
      <c r="C166" s="2" t="str">
        <f t="shared" si="12"/>
        <v>Scan-LUX LB-01.3</v>
      </c>
      <c r="D166" s="2" t="str">
        <f>"0607/00170 "</f>
        <v>0607/00170 </v>
      </c>
      <c r="E166" s="2" t="str">
        <f>"Endoskopowa Pracownia Diagnostyczna KLU"</f>
        <v>Endoskopowa Pracownia Diagnostyczna KLU</v>
      </c>
      <c r="F166" s="2">
        <v>2007</v>
      </c>
      <c r="G166" s="2" t="str">
        <f t="shared" si="9"/>
        <v>FAMED ŻYWIEC Sp. z o.o.</v>
      </c>
      <c r="H166" s="2" t="str">
        <f t="shared" si="13"/>
        <v>12 mies.</v>
      </c>
      <c r="I166" s="2" t="s">
        <v>118</v>
      </c>
    </row>
    <row r="167" spans="1:9" ht="51">
      <c r="A167" s="30" t="s">
        <v>12</v>
      </c>
      <c r="B167" s="2" t="str">
        <f t="shared" si="11"/>
        <v>Lampa zabiegowa na statywie jezdnym</v>
      </c>
      <c r="C167" s="2" t="str">
        <f t="shared" si="12"/>
        <v>Scan-LUX LB-01.3</v>
      </c>
      <c r="D167" s="2" t="str">
        <f>"0208/00302"</f>
        <v>0208/00302</v>
      </c>
      <c r="E167" s="2" t="s">
        <v>0</v>
      </c>
      <c r="F167" s="2">
        <v>2008</v>
      </c>
      <c r="G167" s="2" t="str">
        <f t="shared" si="9"/>
        <v>FAMED ŻYWIEC Sp. z o.o.</v>
      </c>
      <c r="H167" s="2" t="str">
        <f t="shared" si="13"/>
        <v>12 mies.</v>
      </c>
      <c r="I167" s="2" t="s">
        <v>118</v>
      </c>
    </row>
    <row r="168" spans="1:9" ht="51">
      <c r="A168" s="30" t="s">
        <v>13</v>
      </c>
      <c r="B168" s="2" t="str">
        <f t="shared" si="11"/>
        <v>Lampa zabiegowa na statywie jezdnym</v>
      </c>
      <c r="C168" s="2" t="str">
        <f t="shared" si="12"/>
        <v>Scan-LUX LB-01.3</v>
      </c>
      <c r="D168" s="2" t="str">
        <f>"0208/00301"</f>
        <v>0208/00301</v>
      </c>
      <c r="E168" s="2" t="s">
        <v>0</v>
      </c>
      <c r="F168" s="2">
        <v>2008</v>
      </c>
      <c r="G168" s="2" t="str">
        <f t="shared" si="9"/>
        <v>FAMED ŻYWIEC Sp. z o.o.</v>
      </c>
      <c r="H168" s="2" t="str">
        <f t="shared" si="13"/>
        <v>12 mies.</v>
      </c>
      <c r="I168" s="2" t="s">
        <v>118</v>
      </c>
    </row>
    <row r="169" spans="1:9" ht="51">
      <c r="A169" s="30" t="s">
        <v>14</v>
      </c>
      <c r="B169" s="2" t="str">
        <f t="shared" si="11"/>
        <v>Lampa zabiegowa na statywie jezdnym</v>
      </c>
      <c r="C169" s="2" t="str">
        <f t="shared" si="12"/>
        <v>Scan-LUX LB-01.3</v>
      </c>
      <c r="D169" s="2" t="str">
        <f>"1207/00270 "</f>
        <v>1207/00270 </v>
      </c>
      <c r="E169" s="2" t="s">
        <v>0</v>
      </c>
      <c r="F169" s="2">
        <v>2007</v>
      </c>
      <c r="G169" s="2" t="str">
        <f t="shared" si="9"/>
        <v>FAMED ŻYWIEC Sp. z o.o.</v>
      </c>
      <c r="H169" s="2" t="str">
        <f t="shared" si="13"/>
        <v>12 mies.</v>
      </c>
      <c r="I169" s="2" t="s">
        <v>118</v>
      </c>
    </row>
    <row r="170" spans="1:9" ht="51">
      <c r="A170" s="30" t="s">
        <v>15</v>
      </c>
      <c r="B170" s="2" t="str">
        <f t="shared" si="11"/>
        <v>Lampa zabiegowa na statywie jezdnym</v>
      </c>
      <c r="C170" s="2" t="str">
        <f t="shared" si="12"/>
        <v>Scan-LUX LB-01.3</v>
      </c>
      <c r="D170" s="2" t="str">
        <f>"0208/00300"</f>
        <v>0208/00300</v>
      </c>
      <c r="E170" s="2" t="s">
        <v>0</v>
      </c>
      <c r="F170" s="2">
        <v>2007</v>
      </c>
      <c r="G170" s="2" t="str">
        <f t="shared" si="9"/>
        <v>FAMED ŻYWIEC Sp. z o.o.</v>
      </c>
      <c r="H170" s="2" t="str">
        <f t="shared" si="13"/>
        <v>12 mies.</v>
      </c>
      <c r="I170" s="2" t="s">
        <v>118</v>
      </c>
    </row>
    <row r="171" spans="1:9" ht="51">
      <c r="A171" s="30" t="s">
        <v>16</v>
      </c>
      <c r="B171" s="2" t="str">
        <f t="shared" si="11"/>
        <v>Lampa zabiegowa na statywie jezdnym</v>
      </c>
      <c r="C171" s="2" t="str">
        <f t="shared" si="12"/>
        <v>Scan-LUX LB-01.3</v>
      </c>
      <c r="D171" s="2" t="str">
        <f>"0208/00299"</f>
        <v>0208/00299</v>
      </c>
      <c r="E171" s="2" t="s">
        <v>0</v>
      </c>
      <c r="F171" s="2">
        <v>2007</v>
      </c>
      <c r="G171" s="2" t="str">
        <f t="shared" si="9"/>
        <v>FAMED ŻYWIEC Sp. z o.o.</v>
      </c>
      <c r="H171" s="2" t="str">
        <f t="shared" si="13"/>
        <v>12 mies.</v>
      </c>
      <c r="I171" s="2" t="s">
        <v>118</v>
      </c>
    </row>
    <row r="172" spans="1:9" ht="51">
      <c r="A172" s="30" t="s">
        <v>17</v>
      </c>
      <c r="B172" s="2" t="str">
        <f t="shared" si="11"/>
        <v>Lampa zabiegowa na statywie jezdnym</v>
      </c>
      <c r="C172" s="2" t="str">
        <f t="shared" si="12"/>
        <v>Scan-LUX LB-01.3</v>
      </c>
      <c r="D172" s="2" t="str">
        <f>"1206/00099"</f>
        <v>1206/00099</v>
      </c>
      <c r="E172" s="2" t="str">
        <f>"Oddz. Klin. Chir. Urazowo-Ortopedycznej"</f>
        <v>Oddz. Klin. Chir. Urazowo-Ortopedycznej</v>
      </c>
      <c r="F172" s="2">
        <v>2006</v>
      </c>
      <c r="G172" s="2" t="str">
        <f t="shared" si="9"/>
        <v>FAMED ŻYWIEC Sp. z o.o.</v>
      </c>
      <c r="H172" s="2" t="str">
        <f t="shared" si="13"/>
        <v>12 mies.</v>
      </c>
      <c r="I172" s="2" t="s">
        <v>118</v>
      </c>
    </row>
    <row r="173" spans="1:9" ht="51">
      <c r="A173" s="30" t="s">
        <v>18</v>
      </c>
      <c r="B173" s="2" t="str">
        <f t="shared" si="11"/>
        <v>Lampa zabiegowa na statywie jezdnym</v>
      </c>
      <c r="C173" s="2" t="str">
        <f t="shared" si="12"/>
        <v>Scan-LUX LB-01.3</v>
      </c>
      <c r="D173" s="2" t="str">
        <f>"1106/00096"</f>
        <v>1106/00096</v>
      </c>
      <c r="E173" s="2" t="str">
        <f>"Oddz. Klin. Chir. Urazowo-Ortopedycznej"</f>
        <v>Oddz. Klin. Chir. Urazowo-Ortopedycznej</v>
      </c>
      <c r="F173" s="2">
        <v>2006</v>
      </c>
      <c r="G173" s="2" t="str">
        <f t="shared" si="9"/>
        <v>FAMED ŻYWIEC Sp. z o.o.</v>
      </c>
      <c r="H173" s="2" t="str">
        <f t="shared" si="13"/>
        <v>12 mies.</v>
      </c>
      <c r="I173" s="2" t="s">
        <v>118</v>
      </c>
    </row>
    <row r="174" spans="1:9" ht="51">
      <c r="A174" s="30" t="s">
        <v>19</v>
      </c>
      <c r="B174" s="2" t="str">
        <f t="shared" si="11"/>
        <v>Lampa zabiegowa na statywie jezdnym</v>
      </c>
      <c r="C174" s="2" t="str">
        <f t="shared" si="12"/>
        <v>Scan-LUX LB-01.3</v>
      </c>
      <c r="D174" s="2" t="str">
        <f>"1206/00102"</f>
        <v>1206/00102</v>
      </c>
      <c r="E174" s="2" t="str">
        <f>"Oddz. Klin. Chir. Urazowo-Ortopedycznej"</f>
        <v>Oddz. Klin. Chir. Urazowo-Ortopedycznej</v>
      </c>
      <c r="F174" s="2">
        <v>2006</v>
      </c>
      <c r="G174" s="2" t="str">
        <f t="shared" si="9"/>
        <v>FAMED ŻYWIEC Sp. z o.o.</v>
      </c>
      <c r="H174" s="2" t="str">
        <f t="shared" si="13"/>
        <v>12 mies.</v>
      </c>
      <c r="I174" s="2" t="s">
        <v>118</v>
      </c>
    </row>
    <row r="175" spans="1:9" ht="51">
      <c r="A175" s="30" t="s">
        <v>20</v>
      </c>
      <c r="B175" s="2" t="str">
        <f t="shared" si="11"/>
        <v>Lampa zabiegowa na statywie jezdnym</v>
      </c>
      <c r="C175" s="2" t="str">
        <f t="shared" si="12"/>
        <v>Scan-LUX LB-01.3</v>
      </c>
      <c r="D175" s="2" t="str">
        <f>"1206/00104 "</f>
        <v>1206/00104 </v>
      </c>
      <c r="E175" s="2" t="str">
        <f>"Oddz. Klin. Chir.Naczyniowej, Chir.Ogólnej"</f>
        <v>Oddz. Klin. Chir.Naczyniowej, Chir.Ogólnej</v>
      </c>
      <c r="F175" s="2">
        <v>2006</v>
      </c>
      <c r="G175" s="2" t="str">
        <f t="shared" si="9"/>
        <v>FAMED ŻYWIEC Sp. z o.o.</v>
      </c>
      <c r="H175" s="2" t="str">
        <f t="shared" si="13"/>
        <v>12 mies.</v>
      </c>
      <c r="I175" s="2" t="s">
        <v>118</v>
      </c>
    </row>
    <row r="176" spans="1:9" ht="51">
      <c r="A176" s="30" t="s">
        <v>21</v>
      </c>
      <c r="B176" s="2" t="str">
        <f t="shared" si="11"/>
        <v>Lampa zabiegowa na statywie jezdnym</v>
      </c>
      <c r="C176" s="2" t="str">
        <f t="shared" si="12"/>
        <v>Scan-LUX LB-01.3</v>
      </c>
      <c r="D176" s="2" t="str">
        <f>"1206/00106"</f>
        <v>1206/00106</v>
      </c>
      <c r="E176" s="2" t="str">
        <f>"Oddz. Klin. Chir.Ogólnej, Ch.Onkologicznej"</f>
        <v>Oddz. Klin. Chir.Ogólnej, Ch.Onkologicznej</v>
      </c>
      <c r="F176" s="2">
        <v>2006</v>
      </c>
      <c r="G176" s="2" t="str">
        <f t="shared" si="9"/>
        <v>FAMED ŻYWIEC Sp. z o.o.</v>
      </c>
      <c r="H176" s="2" t="str">
        <f t="shared" si="13"/>
        <v>12 mies.</v>
      </c>
      <c r="I176" s="2" t="s">
        <v>118</v>
      </c>
    </row>
    <row r="177" spans="1:9" ht="51">
      <c r="A177" s="30" t="s">
        <v>22</v>
      </c>
      <c r="B177" s="2" t="str">
        <f t="shared" si="11"/>
        <v>Lampa zabiegowa na statywie jezdnym</v>
      </c>
      <c r="C177" s="2" t="str">
        <f t="shared" si="12"/>
        <v>Scan-LUX LB-01.3</v>
      </c>
      <c r="D177" s="2" t="str">
        <f>"0208/00288"</f>
        <v>0208/00288</v>
      </c>
      <c r="E177" s="2" t="str">
        <f>"Oddz. Klin. Chirurgii Szczękowo-Twarzowej"</f>
        <v>Oddz. Klin. Chirurgii Szczękowo-Twarzowej</v>
      </c>
      <c r="F177" s="2">
        <v>2008</v>
      </c>
      <c r="G177" s="2" t="str">
        <f t="shared" si="9"/>
        <v>FAMED ŻYWIEC Sp. z o.o.</v>
      </c>
      <c r="H177" s="2" t="str">
        <f t="shared" si="13"/>
        <v>12 mies.</v>
      </c>
      <c r="I177" s="2" t="s">
        <v>118</v>
      </c>
    </row>
    <row r="178" spans="1:9" ht="51">
      <c r="A178" s="30" t="s">
        <v>23</v>
      </c>
      <c r="B178" s="2" t="str">
        <f t="shared" si="11"/>
        <v>Lampa zabiegowa na statywie jezdnym</v>
      </c>
      <c r="C178" s="2" t="str">
        <f t="shared" si="12"/>
        <v>Scan-LUX LB-01.3</v>
      </c>
      <c r="D178" s="2" t="str">
        <f>"0208/00296"</f>
        <v>0208/00296</v>
      </c>
      <c r="E178" s="2" t="str">
        <f>"Oddz. Klin. Chirurgii Szczękowo-Twarzowej"</f>
        <v>Oddz. Klin. Chirurgii Szczękowo-Twarzowej</v>
      </c>
      <c r="F178" s="2">
        <v>2008</v>
      </c>
      <c r="G178" s="2" t="str">
        <f t="shared" si="9"/>
        <v>FAMED ŻYWIEC Sp. z o.o.</v>
      </c>
      <c r="H178" s="2" t="str">
        <f t="shared" si="13"/>
        <v>12 mies.</v>
      </c>
      <c r="I178" s="2" t="s">
        <v>118</v>
      </c>
    </row>
    <row r="179" spans="1:9" ht="51">
      <c r="A179" s="30" t="s">
        <v>24</v>
      </c>
      <c r="B179" s="2" t="str">
        <f t="shared" si="11"/>
        <v>Lampa zabiegowa na statywie jezdnym</v>
      </c>
      <c r="C179" s="2" t="str">
        <f t="shared" si="12"/>
        <v>Scan-LUX LB-01.3</v>
      </c>
      <c r="D179" s="2" t="str">
        <f>"0208/00277"</f>
        <v>0208/00277</v>
      </c>
      <c r="E179" s="2" t="str">
        <f>"Oddz. Klin. Chirurgii Szczękowo-Twarzowej"</f>
        <v>Oddz. Klin. Chirurgii Szczękowo-Twarzowej</v>
      </c>
      <c r="F179" s="2">
        <v>2008</v>
      </c>
      <c r="G179" s="2" t="str">
        <f t="shared" si="9"/>
        <v>FAMED ŻYWIEC Sp. z o.o.</v>
      </c>
      <c r="H179" s="2" t="str">
        <f t="shared" si="13"/>
        <v>12 mies.</v>
      </c>
      <c r="I179" s="2" t="s">
        <v>118</v>
      </c>
    </row>
    <row r="180" spans="1:9" ht="51">
      <c r="A180" s="30" t="s">
        <v>25</v>
      </c>
      <c r="B180" s="2" t="str">
        <f t="shared" si="11"/>
        <v>Lampa zabiegowa na statywie jezdnym</v>
      </c>
      <c r="C180" s="2" t="str">
        <f t="shared" si="12"/>
        <v>Scan-LUX LB-01.3</v>
      </c>
      <c r="D180" s="2" t="str">
        <f>"0208/00298"</f>
        <v>0208/00298</v>
      </c>
      <c r="E180" s="2" t="str">
        <f>"Oddz. Klin. Chirurgii Szczękowo-Twarzowej"</f>
        <v>Oddz. Klin. Chirurgii Szczękowo-Twarzowej</v>
      </c>
      <c r="F180" s="2">
        <v>2008</v>
      </c>
      <c r="G180" s="2" t="str">
        <f t="shared" si="9"/>
        <v>FAMED ŻYWIEC Sp. z o.o.</v>
      </c>
      <c r="H180" s="2" t="str">
        <f t="shared" si="13"/>
        <v>12 mies.</v>
      </c>
      <c r="I180" s="2" t="s">
        <v>118</v>
      </c>
    </row>
    <row r="181" spans="1:9" ht="51">
      <c r="A181" s="30" t="s">
        <v>26</v>
      </c>
      <c r="B181" s="2" t="str">
        <f t="shared" si="11"/>
        <v>Lampa zabiegowa na statywie jezdnym</v>
      </c>
      <c r="C181" s="2" t="str">
        <f t="shared" si="12"/>
        <v>Scan-LUX LB-01.3</v>
      </c>
      <c r="D181" s="2" t="str">
        <f>"0507/00164 "</f>
        <v>0507/00164 </v>
      </c>
      <c r="E181" s="2" t="str">
        <f>"Oddz. Klin. Neurochirurgiczny z P-oddz.IOM"</f>
        <v>Oddz. Klin. Neurochirurgiczny z P-oddz.IOM</v>
      </c>
      <c r="F181" s="2">
        <v>2007</v>
      </c>
      <c r="G181" s="2" t="str">
        <f t="shared" si="9"/>
        <v>FAMED ŻYWIEC Sp. z o.o.</v>
      </c>
      <c r="H181" s="2" t="str">
        <f t="shared" si="13"/>
        <v>12 mies.</v>
      </c>
      <c r="I181" s="2" t="s">
        <v>118</v>
      </c>
    </row>
    <row r="182" spans="1:9" ht="51">
      <c r="A182" s="30" t="s">
        <v>27</v>
      </c>
      <c r="B182" s="2" t="str">
        <f t="shared" si="11"/>
        <v>Lampa zabiegowa na statywie jezdnym</v>
      </c>
      <c r="C182" s="2" t="str">
        <f t="shared" si="12"/>
        <v>Scan-LUX LB-01.3</v>
      </c>
      <c r="D182" s="2" t="str">
        <f>"0208/00295"</f>
        <v>0208/00295</v>
      </c>
      <c r="E182" s="2" t="str">
        <f>"Oddz. Klin. Otolaryng. z P-oddz. Ot.Dziec."</f>
        <v>Oddz. Klin. Otolaryng. z P-oddz. Ot.Dziec.</v>
      </c>
      <c r="F182" s="2">
        <v>2008</v>
      </c>
      <c r="G182" s="2" t="str">
        <f t="shared" si="9"/>
        <v>FAMED ŻYWIEC Sp. z o.o.</v>
      </c>
      <c r="H182" s="2" t="str">
        <f t="shared" si="13"/>
        <v>12 mies.</v>
      </c>
      <c r="I182" s="2" t="s">
        <v>118</v>
      </c>
    </row>
    <row r="183" spans="1:9" ht="51">
      <c r="A183" s="30" t="s">
        <v>28</v>
      </c>
      <c r="B183" s="2" t="str">
        <f t="shared" si="11"/>
        <v>Lampa zabiegowa na statywie jezdnym</v>
      </c>
      <c r="C183" s="2" t="str">
        <f t="shared" si="12"/>
        <v>Scan-LUX LB-01.3</v>
      </c>
      <c r="D183" s="2" t="str">
        <f>"0208/00287"</f>
        <v>0208/00287</v>
      </c>
      <c r="E183" s="2" t="str">
        <f>"Oddz. Klin. Otolaryng. z P-oddz. Ot.Dziec."</f>
        <v>Oddz. Klin. Otolaryng. z P-oddz. Ot.Dziec.</v>
      </c>
      <c r="F183" s="2">
        <v>2008</v>
      </c>
      <c r="G183" s="2" t="str">
        <f t="shared" si="9"/>
        <v>FAMED ŻYWIEC Sp. z o.o.</v>
      </c>
      <c r="H183" s="2" t="str">
        <f t="shared" si="13"/>
        <v>12 mies.</v>
      </c>
      <c r="I183" s="2" t="s">
        <v>118</v>
      </c>
    </row>
    <row r="184" spans="1:9" ht="51">
      <c r="A184" s="30" t="s">
        <v>29</v>
      </c>
      <c r="B184" s="2" t="str">
        <f t="shared" si="11"/>
        <v>Lampa zabiegowa na statywie jezdnym</v>
      </c>
      <c r="C184" s="2" t="str">
        <f t="shared" si="12"/>
        <v>Scan-LUX LB-01.3</v>
      </c>
      <c r="D184" s="2" t="str">
        <f>"0208/00297 "</f>
        <v>0208/00297 </v>
      </c>
      <c r="E184" s="2" t="str">
        <f>"Oddz. Klin. Otolaryng. z P-oddz. Ot.Dziec."</f>
        <v>Oddz. Klin. Otolaryng. z P-oddz. Ot.Dziec.</v>
      </c>
      <c r="F184" s="2">
        <v>2008</v>
      </c>
      <c r="G184" s="2" t="str">
        <f t="shared" si="9"/>
        <v>FAMED ŻYWIEC Sp. z o.o.</v>
      </c>
      <c r="H184" s="2" t="str">
        <f t="shared" si="13"/>
        <v>12 mies.</v>
      </c>
      <c r="I184" s="2" t="s">
        <v>118</v>
      </c>
    </row>
    <row r="185" spans="1:9" ht="51">
      <c r="A185" s="30" t="s">
        <v>30</v>
      </c>
      <c r="B185" s="2" t="str">
        <f t="shared" si="11"/>
        <v>Lampa zabiegowa na statywie jezdnym</v>
      </c>
      <c r="C185" s="2" t="str">
        <f t="shared" si="12"/>
        <v>Scan-LUX LB-01.3</v>
      </c>
      <c r="D185" s="2" t="str">
        <f>"1206/00100 "</f>
        <v>1206/00100 </v>
      </c>
      <c r="E185" s="2" t="str">
        <f>"Oddz. Klin. Reumatologii i Chorób Wewn."</f>
        <v>Oddz. Klin. Reumatologii i Chorób Wewn.</v>
      </c>
      <c r="F185" s="2">
        <v>2006</v>
      </c>
      <c r="G185" s="2" t="str">
        <f t="shared" si="9"/>
        <v>FAMED ŻYWIEC Sp. z o.o.</v>
      </c>
      <c r="H185" s="2" t="str">
        <f t="shared" si="13"/>
        <v>12 mies.</v>
      </c>
      <c r="I185" s="2" t="s">
        <v>118</v>
      </c>
    </row>
    <row r="186" spans="1:9" ht="51">
      <c r="A186" s="30" t="s">
        <v>31</v>
      </c>
      <c r="B186" s="2" t="str">
        <f t="shared" si="11"/>
        <v>Lampa zabiegowa na statywie jezdnym</v>
      </c>
      <c r="C186" s="2" t="str">
        <f t="shared" si="12"/>
        <v>Scan-LUX LB-01.3</v>
      </c>
      <c r="D186" s="2" t="str">
        <f>"1206/00108 "</f>
        <v>1206/00108 </v>
      </c>
      <c r="E186" s="2" t="str">
        <f>"Oddz. Klin. Urologiczny"</f>
        <v>Oddz. Klin. Urologiczny</v>
      </c>
      <c r="F186" s="2">
        <v>2006</v>
      </c>
      <c r="G186" s="2" t="str">
        <f t="shared" si="9"/>
        <v>FAMED ŻYWIEC Sp. z o.o.</v>
      </c>
      <c r="H186" s="2" t="str">
        <f t="shared" si="13"/>
        <v>12 mies.</v>
      </c>
      <c r="I186" s="2" t="s">
        <v>118</v>
      </c>
    </row>
    <row r="187" spans="1:9" ht="51">
      <c r="A187" s="30" t="s">
        <v>32</v>
      </c>
      <c r="B187" s="2" t="str">
        <f t="shared" si="11"/>
        <v>Lampa zabiegowa na statywie jezdnym</v>
      </c>
      <c r="C187" s="2" t="str">
        <f t="shared" si="12"/>
        <v>Scan-LUX LB-01.3</v>
      </c>
      <c r="D187" s="2" t="str">
        <f>"0607/00169"</f>
        <v>0607/00169</v>
      </c>
      <c r="E187" s="2" t="str">
        <f>"Oddz. Klin.Chir.Małoinwazyjnej i Proktol."</f>
        <v>Oddz. Klin.Chir.Małoinwazyjnej i Proktol.</v>
      </c>
      <c r="F187" s="2">
        <v>2007</v>
      </c>
      <c r="G187" s="2" t="str">
        <f t="shared" si="9"/>
        <v>FAMED ŻYWIEC Sp. z o.o.</v>
      </c>
      <c r="H187" s="2" t="str">
        <f t="shared" si="13"/>
        <v>12 mies.</v>
      </c>
      <c r="I187" s="2" t="s">
        <v>118</v>
      </c>
    </row>
    <row r="188" spans="1:9" ht="51">
      <c r="A188" s="30" t="s">
        <v>33</v>
      </c>
      <c r="B188" s="2" t="str">
        <f t="shared" si="11"/>
        <v>Lampa zabiegowa na statywie jezdnym</v>
      </c>
      <c r="C188" s="2" t="str">
        <f t="shared" si="12"/>
        <v>Scan-LUX LB-01.3</v>
      </c>
      <c r="D188" s="2" t="str">
        <f>"0607/00168 "</f>
        <v>0607/00168 </v>
      </c>
      <c r="E188" s="2" t="str">
        <f>"Oddz. Klin.Chir.Małoinwazyjnej i Proktol."</f>
        <v>Oddz. Klin.Chir.Małoinwazyjnej i Proktol.</v>
      </c>
      <c r="F188" s="2">
        <v>2007</v>
      </c>
      <c r="G188" s="2" t="str">
        <f t="shared" si="9"/>
        <v>FAMED ŻYWIEC Sp. z o.o.</v>
      </c>
      <c r="H188" s="2" t="str">
        <f t="shared" si="13"/>
        <v>12 mies.</v>
      </c>
      <c r="I188" s="2" t="s">
        <v>118</v>
      </c>
    </row>
    <row r="189" spans="1:9" ht="51">
      <c r="A189" s="30" t="s">
        <v>34</v>
      </c>
      <c r="B189" s="2" t="str">
        <f t="shared" si="11"/>
        <v>Lampa zabiegowa na statywie jezdnym</v>
      </c>
      <c r="C189" s="2" t="str">
        <f t="shared" si="12"/>
        <v>Scan-LUX LB-01.3</v>
      </c>
      <c r="D189" s="2" t="str">
        <f>"1206/00103 "</f>
        <v>1206/00103 </v>
      </c>
      <c r="E189" s="2" t="str">
        <f>"Oddz. Klin.Chir.Małoinwazyjnej i Proktol."</f>
        <v>Oddz. Klin.Chir.Małoinwazyjnej i Proktol.</v>
      </c>
      <c r="F189" s="2">
        <v>2006</v>
      </c>
      <c r="G189" s="2" t="str">
        <f t="shared" si="9"/>
        <v>FAMED ŻYWIEC Sp. z o.o.</v>
      </c>
      <c r="H189" s="2" t="str">
        <f t="shared" si="13"/>
        <v>12 mies.</v>
      </c>
      <c r="I189" s="2" t="s">
        <v>118</v>
      </c>
    </row>
    <row r="190" spans="1:9" ht="51">
      <c r="A190" s="30" t="s">
        <v>35</v>
      </c>
      <c r="B190" s="2" t="str">
        <f t="shared" si="11"/>
        <v>Lampa zabiegowa na statywie jezdnym</v>
      </c>
      <c r="C190" s="2" t="str">
        <f t="shared" si="12"/>
        <v>Scan-LUX LB-01.3</v>
      </c>
      <c r="D190" s="2" t="str">
        <f>"1206/00105 "</f>
        <v>1206/00105 </v>
      </c>
      <c r="E190" s="2" t="str">
        <f>"Oddz. Klin.Gastroent.Hepatologii,Ch.Metab"</f>
        <v>Oddz. Klin.Gastroent.Hepatologii,Ch.Metab</v>
      </c>
      <c r="F190" s="2">
        <v>2006</v>
      </c>
      <c r="G190" s="2" t="str">
        <f t="shared" si="9"/>
        <v>FAMED ŻYWIEC Sp. z o.o.</v>
      </c>
      <c r="H190" s="2" t="str">
        <f t="shared" si="13"/>
        <v>12 mies.</v>
      </c>
      <c r="I190" s="2" t="s">
        <v>118</v>
      </c>
    </row>
    <row r="191" spans="1:9" ht="51">
      <c r="A191" s="30" t="s">
        <v>36</v>
      </c>
      <c r="B191" s="2" t="str">
        <f t="shared" si="11"/>
        <v>Lampa zabiegowa na statywie jezdnym</v>
      </c>
      <c r="C191" s="2" t="str">
        <f t="shared" si="12"/>
        <v>Scan-LUX LB-01.3</v>
      </c>
      <c r="D191" s="2" t="str">
        <f>"1206/00101 "</f>
        <v>1206/00101 </v>
      </c>
      <c r="E191" s="2" t="str">
        <f>"Oddz. Klin.Gastroent.Hepatologii,Ch.Metab"</f>
        <v>Oddz. Klin.Gastroent.Hepatologii,Ch.Metab</v>
      </c>
      <c r="F191" s="2">
        <v>2006</v>
      </c>
      <c r="G191" s="2" t="str">
        <f t="shared" si="9"/>
        <v>FAMED ŻYWIEC Sp. z o.o.</v>
      </c>
      <c r="H191" s="2" t="str">
        <f t="shared" si="13"/>
        <v>12 mies.</v>
      </c>
      <c r="I191" s="2" t="s">
        <v>118</v>
      </c>
    </row>
    <row r="192" spans="1:9" ht="51">
      <c r="A192" s="30" t="s">
        <v>37</v>
      </c>
      <c r="B192" s="2" t="str">
        <f t="shared" si="11"/>
        <v>Lampa zabiegowa na statywie jezdnym</v>
      </c>
      <c r="C192" s="2" t="str">
        <f t="shared" si="12"/>
        <v>Scan-LUX LB-01.3</v>
      </c>
      <c r="D192" s="2" t="str">
        <f>"0507/00165 "</f>
        <v>0507/00165 </v>
      </c>
      <c r="E192" s="2" t="str">
        <f>"Pracownia Badań Urodynamicznych KLU"</f>
        <v>Pracownia Badań Urodynamicznych KLU</v>
      </c>
      <c r="F192" s="2">
        <v>2007</v>
      </c>
      <c r="G192" s="2" t="str">
        <f t="shared" si="9"/>
        <v>FAMED ŻYWIEC Sp. z o.o.</v>
      </c>
      <c r="H192" s="2" t="str">
        <f t="shared" si="13"/>
        <v>12 mies.</v>
      </c>
      <c r="I192" s="2" t="s">
        <v>118</v>
      </c>
    </row>
    <row r="194" spans="1:9" ht="15">
      <c r="A194" s="3"/>
      <c r="B194" s="65" t="s">
        <v>38</v>
      </c>
      <c r="C194" s="65"/>
      <c r="D194" s="3"/>
      <c r="E194" s="3"/>
      <c r="F194" s="3"/>
      <c r="G194" s="65" t="s">
        <v>39</v>
      </c>
      <c r="H194" s="65"/>
      <c r="I194" s="65"/>
    </row>
    <row r="195" spans="1:9" ht="15">
      <c r="A195" s="3"/>
      <c r="B195" s="3"/>
      <c r="C195" s="3"/>
      <c r="D195" s="3"/>
      <c r="E195" s="3"/>
      <c r="F195" s="3"/>
      <c r="G195" s="3"/>
      <c r="H195" s="3"/>
      <c r="I195" s="3"/>
    </row>
    <row r="199" spans="1:9" ht="15">
      <c r="A199" s="66" t="s">
        <v>113</v>
      </c>
      <c r="B199" s="66"/>
      <c r="C199" s="66"/>
      <c r="D199" s="66"/>
      <c r="E199" s="66"/>
      <c r="F199" s="66"/>
      <c r="G199" s="66"/>
      <c r="H199" s="66"/>
      <c r="I199" s="66"/>
    </row>
    <row r="201" spans="1:9" ht="51">
      <c r="A201" s="29" t="s">
        <v>1</v>
      </c>
      <c r="B201" s="2" t="str">
        <f>"Nazwa urządzenia"</f>
        <v>Nazwa urządzenia</v>
      </c>
      <c r="C201" s="2" t="str">
        <f>"Typ"</f>
        <v>Typ</v>
      </c>
      <c r="D201" s="2" t="str">
        <f>"Nr Seryjny"</f>
        <v>Nr Seryjny</v>
      </c>
      <c r="E201" s="2" t="str">
        <f>"Jednostka Organizacyjna"</f>
        <v>Jednostka Organizacyjna</v>
      </c>
      <c r="F201" s="2" t="str">
        <f>"Rok Produkcji"</f>
        <v>Rok Produkcji</v>
      </c>
      <c r="G201" s="2" t="str">
        <f>"Producent"</f>
        <v>Producent</v>
      </c>
      <c r="H201" s="2" t="str">
        <f>"Częst. przeglądu"</f>
        <v>Częst. przeglądu</v>
      </c>
      <c r="I201" s="2" t="s">
        <v>40</v>
      </c>
    </row>
    <row r="202" spans="1:9" ht="51">
      <c r="A202" s="30" t="s">
        <v>2</v>
      </c>
      <c r="B202" s="2" t="str">
        <f>"LAMPA BEZCIENIOWA"</f>
        <v>LAMPA BEZCIENIOWA</v>
      </c>
      <c r="C202" s="2" t="str">
        <f>"Dentaplus Maxi T5654 ELD I IR "</f>
        <v>Dentaplus Maxi T5654 ELD I IR </v>
      </c>
      <c r="D202" s="2" t="str">
        <f>"1 "</f>
        <v>1 </v>
      </c>
      <c r="E202" s="2" t="str">
        <f>"Prosektorium"</f>
        <v>Prosektorium</v>
      </c>
      <c r="F202" s="2">
        <v>2009</v>
      </c>
      <c r="G202" s="2" t="str">
        <f>"D-TEC"</f>
        <v>D-TEC</v>
      </c>
      <c r="H202" s="2" t="str">
        <f aca="true" t="shared" si="14" ref="H202:H211">"12 mies."</f>
        <v>12 mies.</v>
      </c>
      <c r="I202" s="2" t="s">
        <v>118</v>
      </c>
    </row>
    <row r="203" spans="1:9" ht="51">
      <c r="A203" s="30" t="s">
        <v>3</v>
      </c>
      <c r="B203" s="2" t="str">
        <f>"LAMPA BEZCIENIOWA"</f>
        <v>LAMPA BEZCIENIOWA</v>
      </c>
      <c r="C203" s="2" t="str">
        <f>"Dentaplus Maxi T5654 ELD I IR "</f>
        <v>Dentaplus Maxi T5654 ELD I IR </v>
      </c>
      <c r="D203" s="2" t="str">
        <f>"2 "</f>
        <v>2 </v>
      </c>
      <c r="E203" s="2" t="str">
        <f>"Prosektorium"</f>
        <v>Prosektorium</v>
      </c>
      <c r="F203" s="2">
        <v>2009</v>
      </c>
      <c r="G203" s="2" t="str">
        <f>"D-TEC"</f>
        <v>D-TEC</v>
      </c>
      <c r="H203" s="2" t="str">
        <f t="shared" si="14"/>
        <v>12 mies.</v>
      </c>
      <c r="I203" s="2" t="s">
        <v>118</v>
      </c>
    </row>
    <row r="204" spans="1:9" ht="51">
      <c r="A204" s="30" t="s">
        <v>4</v>
      </c>
      <c r="B204" s="2" t="str">
        <f>"Lampa operacyjna"</f>
        <v>Lampa operacyjna</v>
      </c>
      <c r="C204" s="2" t="str">
        <f>"Mach 130"</f>
        <v>Mach 130</v>
      </c>
      <c r="D204" s="2" t="str">
        <f>"017015-1 "</f>
        <v>017015-1 </v>
      </c>
      <c r="E204" s="2" t="str">
        <f>"Pracownia Hemodynamiki"</f>
        <v>Pracownia Hemodynamiki</v>
      </c>
      <c r="F204" s="2">
        <v>2009</v>
      </c>
      <c r="G204" s="2" t="str">
        <f>"KENEX (Electro-Medical)"</f>
        <v>KENEX (Electro-Medical)</v>
      </c>
      <c r="H204" s="2" t="str">
        <f t="shared" si="14"/>
        <v>12 mies.</v>
      </c>
      <c r="I204" s="2" t="s">
        <v>118</v>
      </c>
    </row>
    <row r="205" spans="1:9" ht="51">
      <c r="A205" s="30" t="s">
        <v>5</v>
      </c>
      <c r="B205" s="2" t="str">
        <f>"Lampa solux statywowa"</f>
        <v>Lampa solux statywowa</v>
      </c>
      <c r="C205" s="2" t="str">
        <f>"LSC"</f>
        <v>LSC</v>
      </c>
      <c r="D205" s="2" t="str">
        <f>"557/78"</f>
        <v>557/78</v>
      </c>
      <c r="E205" s="2" t="s">
        <v>0</v>
      </c>
      <c r="F205" s="2">
        <v>1978</v>
      </c>
      <c r="G205" s="2" t="str">
        <f>"Zalimp Warszawa"</f>
        <v>Zalimp Warszawa</v>
      </c>
      <c r="H205" s="2" t="str">
        <f t="shared" si="14"/>
        <v>12 mies.</v>
      </c>
      <c r="I205" s="2" t="s">
        <v>118</v>
      </c>
    </row>
    <row r="206" spans="1:9" ht="51">
      <c r="A206" s="30" t="s">
        <v>6</v>
      </c>
      <c r="B206" s="2" t="str">
        <f>"Lampa Zabiegowa"</f>
        <v>Lampa Zabiegowa</v>
      </c>
      <c r="C206" s="2" t="str">
        <f>"Bak Med "</f>
        <v>Bak Med </v>
      </c>
      <c r="D206" s="2" t="str">
        <f>"090059"</f>
        <v>090059</v>
      </c>
      <c r="E206" s="2" t="str">
        <f>"Pracownia Tomografii Komputerowej"</f>
        <v>Pracownia Tomografii Komputerowej</v>
      </c>
      <c r="F206" s="2"/>
      <c r="G206" s="2" t="str">
        <f>"BAK MED "</f>
        <v>BAK MED </v>
      </c>
      <c r="H206" s="2" t="str">
        <f t="shared" si="14"/>
        <v>12 mies.</v>
      </c>
      <c r="I206" s="2" t="s">
        <v>118</v>
      </c>
    </row>
    <row r="207" spans="1:9" ht="51">
      <c r="A207" s="30" t="s">
        <v>7</v>
      </c>
      <c r="B207" s="2" t="str">
        <f>"Lampa Zabiegowa"</f>
        <v>Lampa Zabiegowa</v>
      </c>
      <c r="C207" s="2" t="str">
        <f>"D300 mobilna"</f>
        <v>D300 mobilna</v>
      </c>
      <c r="D207" s="2" t="str">
        <f>"5738050-P32842 "</f>
        <v>5738050-P32842 </v>
      </c>
      <c r="E207" s="2" t="str">
        <f>"Oddz. Klin. Anestezjologii i Inten.Terapii"</f>
        <v>Oddz. Klin. Anestezjologii i Inten.Terapii</v>
      </c>
      <c r="F207" s="2">
        <v>2009</v>
      </c>
      <c r="G207" s="2" t="str">
        <f>"Berchtold / Niemcy"</f>
        <v>Berchtold / Niemcy</v>
      </c>
      <c r="H207" s="2" t="str">
        <f t="shared" si="14"/>
        <v>12 mies.</v>
      </c>
      <c r="I207" s="2" t="s">
        <v>118</v>
      </c>
    </row>
    <row r="208" spans="1:9" ht="51">
      <c r="A208" s="30" t="s">
        <v>8</v>
      </c>
      <c r="B208" s="2" t="str">
        <f>"Lampa Zabiegowa"</f>
        <v>Lampa Zabiegowa</v>
      </c>
      <c r="C208" s="2" t="str">
        <f>"D300 mobilna"</f>
        <v>D300 mobilna</v>
      </c>
      <c r="D208" s="2" t="str">
        <f>"5738050 P32840"</f>
        <v>5738050 P32840</v>
      </c>
      <c r="E208" s="2" t="str">
        <f>"Pracownia Naczyniowa"</f>
        <v>Pracownia Naczyniowa</v>
      </c>
      <c r="F208" s="2"/>
      <c r="G208" s="2" t="str">
        <f>"Berchtold / Niemcy"</f>
        <v>Berchtold / Niemcy</v>
      </c>
      <c r="H208" s="2" t="str">
        <f t="shared" si="14"/>
        <v>12 mies.</v>
      </c>
      <c r="I208" s="2" t="s">
        <v>118</v>
      </c>
    </row>
    <row r="209" spans="1:9" ht="51">
      <c r="A209" s="30" t="s">
        <v>9</v>
      </c>
      <c r="B209" s="2" t="str">
        <f>"Lampa Zabiegowa"</f>
        <v>Lampa Zabiegowa</v>
      </c>
      <c r="C209" s="2" t="str">
        <f>"D300 mobilna"</f>
        <v>D300 mobilna</v>
      </c>
      <c r="D209" s="2" t="str">
        <f>"5738050 P32839"</f>
        <v>5738050 P32839</v>
      </c>
      <c r="E209" s="2" t="str">
        <f>"Pracownia Rezonansu Magnetycznego"</f>
        <v>Pracownia Rezonansu Magnetycznego</v>
      </c>
      <c r="F209" s="2"/>
      <c r="G209" s="2" t="str">
        <f>"Berchtold / Niemcy"</f>
        <v>Berchtold / Niemcy</v>
      </c>
      <c r="H209" s="2" t="str">
        <f t="shared" si="14"/>
        <v>12 mies.</v>
      </c>
      <c r="I209" s="2" t="s">
        <v>118</v>
      </c>
    </row>
    <row r="210" spans="1:9" ht="76.5">
      <c r="A210" s="30" t="s">
        <v>10</v>
      </c>
      <c r="B210" s="2" t="s">
        <v>112</v>
      </c>
      <c r="C210" s="2" t="str">
        <f>"BHS-175A"</f>
        <v>BHS-175A</v>
      </c>
      <c r="D210" s="2" t="str">
        <f>"20030668"</f>
        <v>20030668</v>
      </c>
      <c r="E210" s="2" t="str">
        <f>"Poradnia Chirurgii Onkologicznej"</f>
        <v>Poradnia Chirurgii Onkologicznej</v>
      </c>
      <c r="F210" s="2">
        <v>2003</v>
      </c>
      <c r="G210" s="2" t="str">
        <f>"Famed Łódź"</f>
        <v>Famed Łódź</v>
      </c>
      <c r="H210" s="2" t="str">
        <f t="shared" si="14"/>
        <v>12 mies.</v>
      </c>
      <c r="I210" s="2" t="s">
        <v>118</v>
      </c>
    </row>
    <row r="211" spans="1:9" ht="76.5">
      <c r="A211" s="30" t="s">
        <v>11</v>
      </c>
      <c r="B211" s="2" t="s">
        <v>112</v>
      </c>
      <c r="C211" s="2" t="str">
        <f>"BHS-175A"</f>
        <v>BHS-175A</v>
      </c>
      <c r="D211" s="2" t="str">
        <f>"20030669"</f>
        <v>20030669</v>
      </c>
      <c r="E211" s="2" t="str">
        <f>"Przykl. Porad. Chirurgii Urazowo-Ortoped."</f>
        <v>Przykl. Porad. Chirurgii Urazowo-Ortoped.</v>
      </c>
      <c r="F211" s="2">
        <v>2003</v>
      </c>
      <c r="G211" s="2" t="str">
        <f>"Famed Łódź"</f>
        <v>Famed Łódź</v>
      </c>
      <c r="H211" s="2" t="str">
        <f t="shared" si="14"/>
        <v>12 mies.</v>
      </c>
      <c r="I211" s="2" t="s">
        <v>118</v>
      </c>
    </row>
    <row r="213" spans="1:9" ht="15">
      <c r="A213" s="3"/>
      <c r="B213" s="65" t="s">
        <v>38</v>
      </c>
      <c r="C213" s="65"/>
      <c r="D213" s="3"/>
      <c r="E213" s="3"/>
      <c r="F213" s="3"/>
      <c r="G213" s="65" t="s">
        <v>39</v>
      </c>
      <c r="H213" s="65"/>
      <c r="I213" s="65"/>
    </row>
    <row r="218" spans="1:9" ht="15">
      <c r="A218" s="66" t="s">
        <v>114</v>
      </c>
      <c r="B218" s="66"/>
      <c r="C218" s="66"/>
      <c r="D218" s="66"/>
      <c r="E218" s="66"/>
      <c r="F218" s="66"/>
      <c r="G218" s="66"/>
      <c r="H218" s="66"/>
      <c r="I218" s="66"/>
    </row>
    <row r="220" spans="1:9" ht="51">
      <c r="A220" s="33" t="s">
        <v>1</v>
      </c>
      <c r="B220" s="2" t="str">
        <f>"Nazwa urządzenia"</f>
        <v>Nazwa urządzenia</v>
      </c>
      <c r="C220" s="2" t="str">
        <f>"Typ"</f>
        <v>Typ</v>
      </c>
      <c r="D220" s="2" t="str">
        <f>"Nr Seryjny"</f>
        <v>Nr Seryjny</v>
      </c>
      <c r="E220" s="2" t="str">
        <f>"Jednostka Organizacyjna"</f>
        <v>Jednostka Organizacyjna</v>
      </c>
      <c r="F220" s="2" t="str">
        <f>"Rok Produkcji"</f>
        <v>Rok Produkcji</v>
      </c>
      <c r="G220" s="2" t="str">
        <f>"Producent"</f>
        <v>Producent</v>
      </c>
      <c r="H220" s="2" t="str">
        <f>"Częst. przeglądu"</f>
        <v>Częst. przeglądu</v>
      </c>
      <c r="I220" s="2" t="s">
        <v>40</v>
      </c>
    </row>
    <row r="221" spans="1:9" ht="51">
      <c r="A221" s="30" t="s">
        <v>2</v>
      </c>
      <c r="B221" s="2" t="str">
        <f>"Aparat EEG"</f>
        <v>Aparat EEG</v>
      </c>
      <c r="C221" s="2" t="str">
        <f>"Digi Track typ DT-2004"</f>
        <v>Digi Track typ DT-2004</v>
      </c>
      <c r="D221" s="2" t="str">
        <f>"20410228"</f>
        <v>20410228</v>
      </c>
      <c r="E221" s="2" t="str">
        <f>"Oddz.Klin. Neonatologiczny z Oddz. ITN"</f>
        <v>Oddz.Klin. Neonatologiczny z Oddz. ITN</v>
      </c>
      <c r="F221" s="2">
        <v>2004</v>
      </c>
      <c r="G221" s="2" t="str">
        <f>"ELMIKO MEDICAL Sp. z o.o."</f>
        <v>ELMIKO MEDICAL Sp. z o.o.</v>
      </c>
      <c r="H221" s="2" t="str">
        <f>"12 mies."</f>
        <v>12 mies.</v>
      </c>
      <c r="I221" s="2" t="s">
        <v>118</v>
      </c>
    </row>
    <row r="222" spans="1:9" ht="51">
      <c r="A222" s="34" t="s">
        <v>3</v>
      </c>
      <c r="B222" s="2" t="str">
        <f>"Aparat EEG"</f>
        <v>Aparat EEG</v>
      </c>
      <c r="C222" s="2" t="str">
        <f>"Digi Track typ DT-2004"</f>
        <v>Digi Track typ DT-2004</v>
      </c>
      <c r="D222" s="2" t="str">
        <f>"20404206"</f>
        <v>20404206</v>
      </c>
      <c r="E222" s="2" t="str">
        <f>"Przykl. Porad. Neurologiczna"</f>
        <v>Przykl. Porad. Neurologiczna</v>
      </c>
      <c r="F222" s="2">
        <v>2004</v>
      </c>
      <c r="G222" s="2" t="str">
        <f>"ELMIKO MEDICAL Sp. z o.o."</f>
        <v>ELMIKO MEDICAL Sp. z o.o.</v>
      </c>
      <c r="H222" s="2" t="str">
        <f>"12 mies."</f>
        <v>12 mies.</v>
      </c>
      <c r="I222" s="2" t="s">
        <v>118</v>
      </c>
    </row>
    <row r="223" spans="1:9" ht="15">
      <c r="A223" s="31"/>
      <c r="B223" s="32"/>
      <c r="C223" s="32"/>
      <c r="D223" s="32"/>
      <c r="E223" s="32"/>
      <c r="F223" s="32"/>
      <c r="G223" s="32"/>
      <c r="H223" s="32"/>
      <c r="I223" s="32"/>
    </row>
    <row r="224" spans="1:9" ht="15">
      <c r="A224" s="31"/>
      <c r="B224" s="55" t="s">
        <v>38</v>
      </c>
      <c r="C224" s="55"/>
      <c r="D224" s="32"/>
      <c r="E224" s="32"/>
      <c r="F224" s="32"/>
      <c r="G224" s="55" t="s">
        <v>39</v>
      </c>
      <c r="H224" s="55"/>
      <c r="I224" s="55"/>
    </row>
    <row r="225" spans="1:9" ht="15">
      <c r="A225" s="31"/>
      <c r="B225" s="25"/>
      <c r="C225" s="25"/>
      <c r="D225" s="32"/>
      <c r="E225" s="32"/>
      <c r="F225" s="32"/>
      <c r="G225" s="25"/>
      <c r="H225" s="25"/>
      <c r="I225" s="25"/>
    </row>
    <row r="226" spans="1:9" ht="15">
      <c r="A226" s="31"/>
      <c r="B226" s="25"/>
      <c r="C226" s="25"/>
      <c r="D226" s="32"/>
      <c r="E226" s="32"/>
      <c r="F226" s="32"/>
      <c r="G226" s="25"/>
      <c r="H226" s="25"/>
      <c r="I226" s="25"/>
    </row>
    <row r="227" spans="1:9" ht="15">
      <c r="A227" s="31"/>
      <c r="B227" s="25"/>
      <c r="C227" s="25"/>
      <c r="D227" s="32"/>
      <c r="E227" s="32"/>
      <c r="F227" s="32"/>
      <c r="G227" s="25"/>
      <c r="H227" s="25"/>
      <c r="I227" s="25"/>
    </row>
    <row r="228" spans="1:9" ht="15">
      <c r="A228" s="31"/>
      <c r="B228" s="32"/>
      <c r="C228" s="32"/>
      <c r="D228" s="32"/>
      <c r="E228" s="32"/>
      <c r="F228" s="32"/>
      <c r="G228" s="32"/>
      <c r="H228" s="32"/>
      <c r="I228" s="32"/>
    </row>
    <row r="229" spans="1:9" ht="15">
      <c r="A229" s="66" t="s">
        <v>121</v>
      </c>
      <c r="B229" s="66"/>
      <c r="C229" s="66"/>
      <c r="D229" s="66"/>
      <c r="E229" s="66"/>
      <c r="F229" s="66"/>
      <c r="G229" s="66"/>
      <c r="H229" s="66"/>
      <c r="I229" s="66"/>
    </row>
    <row r="230" spans="1:9" ht="15">
      <c r="A230" s="31"/>
      <c r="B230" s="32"/>
      <c r="C230" s="32"/>
      <c r="D230" s="32"/>
      <c r="E230" s="32"/>
      <c r="F230" s="32"/>
      <c r="G230" s="32"/>
      <c r="H230" s="32"/>
      <c r="I230" s="32"/>
    </row>
    <row r="231" spans="1:9" ht="51">
      <c r="A231" s="33" t="s">
        <v>1</v>
      </c>
      <c r="B231" s="2" t="str">
        <f>"Nazwa urządzenia"</f>
        <v>Nazwa urządzenia</v>
      </c>
      <c r="C231" s="2" t="str">
        <f>"Typ"</f>
        <v>Typ</v>
      </c>
      <c r="D231" s="2" t="str">
        <f>"Nr Seryjny"</f>
        <v>Nr Seryjny</v>
      </c>
      <c r="E231" s="2" t="str">
        <f>"Jednostka Organizacyjna"</f>
        <v>Jednostka Organizacyjna</v>
      </c>
      <c r="F231" s="2" t="str">
        <f>"Rok Produkcji"</f>
        <v>Rok Produkcji</v>
      </c>
      <c r="G231" s="2" t="str">
        <f>"Producent"</f>
        <v>Producent</v>
      </c>
      <c r="H231" s="2" t="str">
        <f>"Częst. przeglądu"</f>
        <v>Częst. przeglądu</v>
      </c>
      <c r="I231" s="2" t="s">
        <v>40</v>
      </c>
    </row>
    <row r="232" spans="1:9" ht="38.25">
      <c r="A232" s="30" t="s">
        <v>2</v>
      </c>
      <c r="B232" s="2" t="str">
        <f>"Aparat EEG"</f>
        <v>Aparat EEG</v>
      </c>
      <c r="C232" s="2" t="str">
        <f>"NicoletOne nEEG  "</f>
        <v>NicoletOne nEEG  </v>
      </c>
      <c r="D232" s="2" t="str">
        <f>"OJ080547"</f>
        <v>OJ080547</v>
      </c>
      <c r="E232" s="2" t="str">
        <f>"Oddz. Klin. Neurologii, Udarowy"</f>
        <v>Oddz. Klin. Neurologii, Udarowy</v>
      </c>
      <c r="F232" s="2">
        <v>2007</v>
      </c>
      <c r="G232" s="2" t="str">
        <f>"Nicolet Biomedical Inc., USA"</f>
        <v>Nicolet Biomedical Inc., USA</v>
      </c>
      <c r="H232" s="2" t="str">
        <f>"12 mies."</f>
        <v>12 mies.</v>
      </c>
      <c r="I232" s="2" t="str">
        <f>"2019-03-12"</f>
        <v>2019-03-12</v>
      </c>
    </row>
    <row r="233" spans="1:9" ht="38.25">
      <c r="A233" s="30" t="s">
        <v>3</v>
      </c>
      <c r="B233" s="2" t="str">
        <f>"Aparat EEG"</f>
        <v>Aparat EEG</v>
      </c>
      <c r="C233" s="2" t="str">
        <f>"NicoletOne vEEG  "</f>
        <v>NicoletOne vEEG  </v>
      </c>
      <c r="D233" s="2" t="str">
        <f>"PN080371 "</f>
        <v>PN080371 </v>
      </c>
      <c r="E233" s="2" t="str">
        <f>"Oddz. Klin. Neurologii, Udarowy"</f>
        <v>Oddz. Klin. Neurologii, Udarowy</v>
      </c>
      <c r="F233" s="2">
        <v>2007</v>
      </c>
      <c r="G233" s="2" t="str">
        <f>"Nicolet Biomedical Inc., USA"</f>
        <v>Nicolet Biomedical Inc., USA</v>
      </c>
      <c r="H233" s="2" t="str">
        <f>"12 mies."</f>
        <v>12 mies.</v>
      </c>
      <c r="I233" s="2" t="str">
        <f>"2019-03-12"</f>
        <v>2019-03-12</v>
      </c>
    </row>
    <row r="235" spans="2:9" ht="15">
      <c r="B235" s="55" t="s">
        <v>38</v>
      </c>
      <c r="C235" s="55"/>
      <c r="G235" s="55" t="s">
        <v>39</v>
      </c>
      <c r="H235" s="55"/>
      <c r="I235" s="55"/>
    </row>
    <row r="240" spans="1:9" ht="28.5" customHeight="1">
      <c r="A240" s="54" t="s">
        <v>115</v>
      </c>
      <c r="B240" s="54"/>
      <c r="C240" s="54"/>
      <c r="D240" s="54"/>
      <c r="E240" s="54"/>
      <c r="F240" s="54"/>
      <c r="G240" s="54"/>
      <c r="H240" s="54"/>
      <c r="I240" s="54"/>
    </row>
    <row r="242" spans="1:9" ht="51">
      <c r="A242" s="33" t="s">
        <v>1</v>
      </c>
      <c r="B242" s="2" t="str">
        <f>"Nazwa urządzenia"</f>
        <v>Nazwa urządzenia</v>
      </c>
      <c r="C242" s="2" t="str">
        <f>"Typ"</f>
        <v>Typ</v>
      </c>
      <c r="D242" s="2" t="str">
        <f>"Nr Seryjny"</f>
        <v>Nr Seryjny</v>
      </c>
      <c r="E242" s="2" t="str">
        <f>"Jednostka Organizacyjna"</f>
        <v>Jednostka Organizacyjna</v>
      </c>
      <c r="F242" s="2" t="str">
        <f>"Rok Produkcji"</f>
        <v>Rok Produkcji</v>
      </c>
      <c r="G242" s="2" t="str">
        <f>"Producent"</f>
        <v>Producent</v>
      </c>
      <c r="H242" s="2" t="str">
        <f>"Częst. przeglądu"</f>
        <v>Częst. przeglądu</v>
      </c>
      <c r="I242" s="2" t="s">
        <v>40</v>
      </c>
    </row>
    <row r="243" spans="1:9" ht="51">
      <c r="A243" s="30" t="s">
        <v>2</v>
      </c>
      <c r="B243" s="2" t="str">
        <f>"Zestaw do badań izokinetycznych"</f>
        <v>Zestaw do badań izokinetycznych</v>
      </c>
      <c r="C243" s="2" t="str">
        <f>"835-210"</f>
        <v>835-210</v>
      </c>
      <c r="D243" s="2" t="str">
        <f>"SN: 12002684 "</f>
        <v>SN: 12002684 </v>
      </c>
      <c r="E243" s="2" t="s">
        <v>0</v>
      </c>
      <c r="F243" s="2">
        <v>2008</v>
      </c>
      <c r="G243" s="2" t="str">
        <f>"Biodex Medical (USA)"</f>
        <v>Biodex Medical (USA)</v>
      </c>
      <c r="H243" s="2" t="str">
        <f>"12 mies."</f>
        <v>12 mies.</v>
      </c>
      <c r="I243" s="2" t="s">
        <v>118</v>
      </c>
    </row>
    <row r="244" spans="1:9" ht="51">
      <c r="A244" s="30" t="s">
        <v>3</v>
      </c>
      <c r="B244" s="2" t="s">
        <v>123</v>
      </c>
      <c r="C244" s="2" t="s">
        <v>124</v>
      </c>
      <c r="D244" s="2">
        <v>9081389</v>
      </c>
      <c r="E244" s="2" t="s">
        <v>125</v>
      </c>
      <c r="F244" s="2">
        <v>2010</v>
      </c>
      <c r="G244" s="2" t="str">
        <f>"Biodex Medical (USA)"</f>
        <v>Biodex Medical (USA)</v>
      </c>
      <c r="H244" s="2" t="str">
        <f>"12 mies."</f>
        <v>12 mies.</v>
      </c>
      <c r="I244" s="2" t="s">
        <v>118</v>
      </c>
    </row>
    <row r="245" spans="1:9" ht="38.25">
      <c r="A245" s="30" t="s">
        <v>4</v>
      </c>
      <c r="B245" s="2" t="s">
        <v>126</v>
      </c>
      <c r="C245" s="2" t="s">
        <v>127</v>
      </c>
      <c r="D245" s="2">
        <v>1002718</v>
      </c>
      <c r="E245" s="2" t="s">
        <v>125</v>
      </c>
      <c r="F245" s="2">
        <v>2010</v>
      </c>
      <c r="G245" s="2" t="str">
        <f>"Biodex Medical (USA)"</f>
        <v>Biodex Medical (USA)</v>
      </c>
      <c r="H245" s="2" t="str">
        <f>"12 mies."</f>
        <v>12 mies.</v>
      </c>
      <c r="I245" s="35">
        <v>43571</v>
      </c>
    </row>
    <row r="247" spans="2:9" ht="15">
      <c r="B247" s="55" t="s">
        <v>38</v>
      </c>
      <c r="C247" s="55"/>
      <c r="G247" s="55" t="s">
        <v>39</v>
      </c>
      <c r="H247" s="55"/>
      <c r="I247" s="55"/>
    </row>
    <row r="251" spans="1:9" ht="15" customHeight="1">
      <c r="A251" s="54" t="s">
        <v>116</v>
      </c>
      <c r="B251" s="54"/>
      <c r="C251" s="54"/>
      <c r="D251" s="54"/>
      <c r="E251" s="54"/>
      <c r="F251" s="54"/>
      <c r="G251" s="54"/>
      <c r="H251" s="54"/>
      <c r="I251" s="54"/>
    </row>
    <row r="252" spans="1:9" ht="15">
      <c r="A252" s="23"/>
      <c r="B252" s="23"/>
      <c r="C252" s="23"/>
      <c r="D252" s="23"/>
      <c r="E252" s="23"/>
      <c r="F252" s="23"/>
      <c r="G252" s="23"/>
      <c r="H252" s="23"/>
      <c r="I252" s="23"/>
    </row>
    <row r="253" spans="1:9" ht="51">
      <c r="A253" s="33" t="s">
        <v>1</v>
      </c>
      <c r="B253" s="2" t="str">
        <f>"Nazwa urządzenia"</f>
        <v>Nazwa urządzenia</v>
      </c>
      <c r="C253" s="2" t="str">
        <f>"Typ"</f>
        <v>Typ</v>
      </c>
      <c r="D253" s="2" t="str">
        <f>"Nr Seryjny"</f>
        <v>Nr Seryjny</v>
      </c>
      <c r="E253" s="2" t="str">
        <f>"Jednostka Organizacyjna"</f>
        <v>Jednostka Organizacyjna</v>
      </c>
      <c r="F253" s="2" t="str">
        <f>"Rok Produkcji"</f>
        <v>Rok Produkcji</v>
      </c>
      <c r="G253" s="2" t="str">
        <f>"Producent"</f>
        <v>Producent</v>
      </c>
      <c r="H253" s="2" t="str">
        <f>"Częst. przeglądu"</f>
        <v>Częst. przeglądu</v>
      </c>
      <c r="I253" s="2" t="s">
        <v>40</v>
      </c>
    </row>
    <row r="254" spans="1:9" ht="51">
      <c r="A254" s="30" t="s">
        <v>2</v>
      </c>
      <c r="B254" s="2" t="str">
        <f>"Wstrzykiwacz kontrastu"</f>
        <v>Wstrzykiwacz kontrastu</v>
      </c>
      <c r="C254" s="2" t="str">
        <f>"Angiomat Illumena "</f>
        <v>Angiomat Illumena </v>
      </c>
      <c r="D254" s="2" t="str">
        <f>"CI0810C013"</f>
        <v>CI0810C013</v>
      </c>
      <c r="E254" s="2" t="str">
        <f>"Blok Op. Chirurgii Naczyniowej"</f>
        <v>Blok Op. Chirurgii Naczyniowej</v>
      </c>
      <c r="F254" s="2">
        <v>2010</v>
      </c>
      <c r="G254" s="2" t="str">
        <f>"Liebel-flarsheim"</f>
        <v>Liebel-flarsheim</v>
      </c>
      <c r="H254" s="2" t="str">
        <f>"12 mies."</f>
        <v>12 mies.</v>
      </c>
      <c r="I254" s="2" t="s">
        <v>118</v>
      </c>
    </row>
    <row r="255" spans="1:9" ht="51">
      <c r="A255" s="30" t="s">
        <v>3</v>
      </c>
      <c r="B255" s="2" t="str">
        <f>"Wstrzykiwacz kontrastu"</f>
        <v>Wstrzykiwacz kontrastu</v>
      </c>
      <c r="C255" s="2" t="str">
        <f>"Angiomat Illumena "</f>
        <v>Angiomat Illumena </v>
      </c>
      <c r="D255" s="2" t="str">
        <f>"CI0209C063 "</f>
        <v>CI0209C063 </v>
      </c>
      <c r="E255" s="2" t="str">
        <f>"Ponadreg. Centrum Chir. Endowaskularnej"</f>
        <v>Ponadreg. Centrum Chir. Endowaskularnej</v>
      </c>
      <c r="F255" s="2">
        <v>2010</v>
      </c>
      <c r="G255" s="2" t="str">
        <f>"Liebel-flarsheim"</f>
        <v>Liebel-flarsheim</v>
      </c>
      <c r="H255" s="2" t="str">
        <f>"12 mies."</f>
        <v>12 mies.</v>
      </c>
      <c r="I255" s="2" t="s">
        <v>118</v>
      </c>
    </row>
    <row r="257" spans="2:9" ht="15">
      <c r="B257" s="55" t="s">
        <v>38</v>
      </c>
      <c r="C257" s="55"/>
      <c r="G257" s="55" t="s">
        <v>39</v>
      </c>
      <c r="H257" s="55"/>
      <c r="I257" s="55"/>
    </row>
    <row r="262" spans="1:9" ht="15">
      <c r="A262" s="54" t="s">
        <v>117</v>
      </c>
      <c r="B262" s="54"/>
      <c r="C262" s="54"/>
      <c r="D262" s="54"/>
      <c r="E262" s="54"/>
      <c r="F262" s="54"/>
      <c r="G262" s="54"/>
      <c r="H262" s="54"/>
      <c r="I262" s="54"/>
    </row>
    <row r="264" spans="1:9" ht="51">
      <c r="A264" s="33" t="s">
        <v>1</v>
      </c>
      <c r="B264" s="2" t="str">
        <f>"Nazwa urządzenia"</f>
        <v>Nazwa urządzenia</v>
      </c>
      <c r="C264" s="2" t="str">
        <f>"Typ"</f>
        <v>Typ</v>
      </c>
      <c r="D264" s="2" t="str">
        <f>"Nr Seryjny"</f>
        <v>Nr Seryjny</v>
      </c>
      <c r="E264" s="2" t="str">
        <f>"Jednostka Organizacyjna"</f>
        <v>Jednostka Organizacyjna</v>
      </c>
      <c r="F264" s="2" t="str">
        <f>"Rok Produkcji"</f>
        <v>Rok Produkcji</v>
      </c>
      <c r="G264" s="2" t="str">
        <f>"Producent"</f>
        <v>Producent</v>
      </c>
      <c r="H264" s="2" t="str">
        <f>"Częst. przeglądu"</f>
        <v>Częst. przeglądu</v>
      </c>
      <c r="I264" s="2" t="s">
        <v>40</v>
      </c>
    </row>
    <row r="265" spans="1:9" ht="38.25">
      <c r="A265" s="30" t="s">
        <v>2</v>
      </c>
      <c r="B265" s="2" t="str">
        <f>"Wstrzykiwacz kontrastu"</f>
        <v>Wstrzykiwacz kontrastu</v>
      </c>
      <c r="C265" s="2" t="str">
        <f>"CT Express 4D"</f>
        <v>CT Express 4D</v>
      </c>
      <c r="D265" s="2" t="str">
        <f>"R0013088-1014"</f>
        <v>R0013088-1014</v>
      </c>
      <c r="E265" s="2" t="str">
        <f>"Pracownia Tomografii Komputerowej"</f>
        <v>Pracownia Tomografii Komputerowej</v>
      </c>
      <c r="F265" s="2">
        <v>2014</v>
      </c>
      <c r="G265" s="2" t="str">
        <f>"Bracco Injeneering"</f>
        <v>Bracco Injeneering</v>
      </c>
      <c r="H265" s="2" t="str">
        <f>"12 mies."</f>
        <v>12 mies.</v>
      </c>
      <c r="I265" s="35">
        <v>43574</v>
      </c>
    </row>
    <row r="266" spans="1:9" ht="38.25">
      <c r="A266" s="30" t="s">
        <v>3</v>
      </c>
      <c r="B266" s="2" t="str">
        <f>"Wstrzykiwacz kontrastu"</f>
        <v>Wstrzykiwacz kontrastu</v>
      </c>
      <c r="C266" s="2" t="str">
        <f>"CT Express 4D"</f>
        <v>CT Express 4D</v>
      </c>
      <c r="D266" s="2" t="str">
        <f>"R0013087-1014"</f>
        <v>R0013087-1014</v>
      </c>
      <c r="E266" s="2" t="str">
        <f>"Pracownia Tomografii Komputerowej"</f>
        <v>Pracownia Tomografii Komputerowej</v>
      </c>
      <c r="F266" s="2">
        <v>2014</v>
      </c>
      <c r="G266" s="2" t="str">
        <f>"Bracco Injeneering"</f>
        <v>Bracco Injeneering</v>
      </c>
      <c r="H266" s="2" t="str">
        <f>"12 mies."</f>
        <v>12 mies.</v>
      </c>
      <c r="I266" s="35">
        <v>43574</v>
      </c>
    </row>
    <row r="268" spans="2:9" ht="15">
      <c r="B268" s="55" t="s">
        <v>38</v>
      </c>
      <c r="C268" s="55"/>
      <c r="G268" s="55" t="s">
        <v>39</v>
      </c>
      <c r="H268" s="55"/>
      <c r="I268" s="55"/>
    </row>
    <row r="269" spans="2:9" ht="15">
      <c r="B269" s="25"/>
      <c r="C269" s="25"/>
      <c r="G269" s="25"/>
      <c r="H269" s="25"/>
      <c r="I269" s="25"/>
    </row>
    <row r="270" spans="2:9" ht="15">
      <c r="B270" s="25"/>
      <c r="C270" s="25"/>
      <c r="G270" s="25"/>
      <c r="H270" s="25"/>
      <c r="I270" s="25"/>
    </row>
    <row r="271" spans="2:9" ht="15">
      <c r="B271" s="25"/>
      <c r="C271" s="25"/>
      <c r="G271" s="25"/>
      <c r="H271" s="25"/>
      <c r="I271" s="25"/>
    </row>
    <row r="273" spans="1:9" ht="18" customHeight="1">
      <c r="A273" s="54" t="s">
        <v>128</v>
      </c>
      <c r="B273" s="54"/>
      <c r="C273" s="54"/>
      <c r="D273" s="54"/>
      <c r="E273" s="54"/>
      <c r="F273" s="54"/>
      <c r="G273" s="54"/>
      <c r="H273" s="54"/>
      <c r="I273" s="54"/>
    </row>
    <row r="275" spans="1:9" ht="48">
      <c r="A275" s="36" t="s">
        <v>1</v>
      </c>
      <c r="B275" s="37" t="str">
        <f>"Nazwa urządzenia"</f>
        <v>Nazwa urządzenia</v>
      </c>
      <c r="C275" s="37" t="str">
        <f>"Typ"</f>
        <v>Typ</v>
      </c>
      <c r="D275" s="37" t="str">
        <f>"Nr Seryjny"</f>
        <v>Nr Seryjny</v>
      </c>
      <c r="E275" s="37" t="str">
        <f>"Jednostka Organizacyjna"</f>
        <v>Jednostka Organizacyjna</v>
      </c>
      <c r="F275" s="37" t="str">
        <f>"Rok Produkcji"</f>
        <v>Rok Produkcji</v>
      </c>
      <c r="G275" s="37" t="str">
        <f>"Producent"</f>
        <v>Producent</v>
      </c>
      <c r="H275" s="37" t="str">
        <f>"Częst. przeglądu"</f>
        <v>Częst. przeglądu</v>
      </c>
      <c r="I275" s="37" t="s">
        <v>40</v>
      </c>
    </row>
    <row r="276" spans="1:9" ht="50.25" customHeight="1">
      <c r="A276" s="40" t="s">
        <v>2</v>
      </c>
      <c r="B276" s="37" t="str">
        <f>"Laser do stymulacji potencjałów wywołanych "</f>
        <v>Laser do stymulacji potencjałów wywołanych </v>
      </c>
      <c r="C276" s="37" t="str">
        <f>"Neurolas "</f>
        <v>Neurolas </v>
      </c>
      <c r="D276" s="37" t="str">
        <f>"NL8AS101A (NL-0812-01)"</f>
        <v>NL8AS101A (NL-0812-01)</v>
      </c>
      <c r="E276" s="37" t="str">
        <f>"Oddz. Klin. Neurologii, Udarowy"</f>
        <v>Oddz. Klin. Neurologii, Udarowy</v>
      </c>
      <c r="F276" s="37">
        <v>2008</v>
      </c>
      <c r="G276" s="37" t="str">
        <f>"El.En. S.p.A."</f>
        <v>El.En. S.p.A.</v>
      </c>
      <c r="H276" s="37" t="str">
        <f>"12 mies."</f>
        <v>12 mies.</v>
      </c>
      <c r="I276" s="37" t="str">
        <f>"2019-03-12"</f>
        <v>2019-03-12</v>
      </c>
    </row>
    <row r="277" spans="1:9" ht="18.75" customHeight="1">
      <c r="A277" s="44"/>
      <c r="B277" s="38"/>
      <c r="C277" s="38"/>
      <c r="D277" s="38"/>
      <c r="E277" s="38"/>
      <c r="F277" s="38"/>
      <c r="G277" s="38"/>
      <c r="H277" s="38"/>
      <c r="I277" s="38"/>
    </row>
    <row r="278" spans="2:9" ht="17.25" customHeight="1">
      <c r="B278" s="55" t="s">
        <v>38</v>
      </c>
      <c r="C278" s="55"/>
      <c r="G278" s="55" t="s">
        <v>39</v>
      </c>
      <c r="H278" s="55"/>
      <c r="I278" s="55"/>
    </row>
    <row r="279" spans="2:9" ht="17.25" customHeight="1">
      <c r="B279" s="25"/>
      <c r="C279" s="25"/>
      <c r="G279" s="25"/>
      <c r="H279" s="25"/>
      <c r="I279" s="25"/>
    </row>
    <row r="280" spans="2:9" ht="17.25" customHeight="1">
      <c r="B280" s="25"/>
      <c r="C280" s="25"/>
      <c r="G280" s="25"/>
      <c r="H280" s="25"/>
      <c r="I280" s="25"/>
    </row>
    <row r="281" spans="2:9" ht="17.25" customHeight="1">
      <c r="B281" s="25"/>
      <c r="C281" s="25"/>
      <c r="G281" s="25"/>
      <c r="H281" s="25"/>
      <c r="I281" s="25"/>
    </row>
    <row r="282" spans="2:9" ht="17.25" customHeight="1">
      <c r="B282" s="25"/>
      <c r="C282" s="25"/>
      <c r="G282" s="25"/>
      <c r="H282" s="25"/>
      <c r="I282" s="25"/>
    </row>
    <row r="283" spans="1:9" ht="18.75" customHeight="1">
      <c r="A283" s="54" t="s">
        <v>136</v>
      </c>
      <c r="B283" s="54"/>
      <c r="C283" s="54"/>
      <c r="D283" s="54"/>
      <c r="E283" s="54"/>
      <c r="F283" s="54"/>
      <c r="G283" s="54"/>
      <c r="H283" s="54"/>
      <c r="I283" s="54"/>
    </row>
    <row r="284" spans="1:9" ht="18.75" customHeight="1">
      <c r="A284" s="44"/>
      <c r="B284" s="38"/>
      <c r="C284" s="38"/>
      <c r="D284" s="38"/>
      <c r="E284" s="38"/>
      <c r="F284" s="38"/>
      <c r="G284" s="38"/>
      <c r="H284" s="38"/>
      <c r="I284" s="38"/>
    </row>
    <row r="285" spans="1:9" ht="50.25" customHeight="1">
      <c r="A285" s="36" t="s">
        <v>1</v>
      </c>
      <c r="B285" s="37" t="str">
        <f>"Nazwa urządzenia"</f>
        <v>Nazwa urządzenia</v>
      </c>
      <c r="C285" s="37" t="str">
        <f>"Typ"</f>
        <v>Typ</v>
      </c>
      <c r="D285" s="37" t="str">
        <f>"Nr Seryjny"</f>
        <v>Nr Seryjny</v>
      </c>
      <c r="E285" s="37" t="str">
        <f>"Jednostka Organizacyjna"</f>
        <v>Jednostka Organizacyjna</v>
      </c>
      <c r="F285" s="37" t="str">
        <f>"Rok Produkcji"</f>
        <v>Rok Produkcji</v>
      </c>
      <c r="G285" s="37" t="str">
        <f>"Producent"</f>
        <v>Producent</v>
      </c>
      <c r="H285" s="37" t="str">
        <f>"Częst. przeglądu"</f>
        <v>Częst. przeglądu</v>
      </c>
      <c r="I285" s="37" t="s">
        <v>40</v>
      </c>
    </row>
    <row r="286" spans="1:9" ht="51">
      <c r="A286" s="40" t="s">
        <v>2</v>
      </c>
      <c r="B286" s="37" t="str">
        <f>"Laser holmowy"</f>
        <v>Laser holmowy</v>
      </c>
      <c r="C286" s="37" t="str">
        <f>"Stonelight HPS"</f>
        <v>Stonelight HPS</v>
      </c>
      <c r="D286" s="37" t="str">
        <f>"TGM08"</f>
        <v>TGM08</v>
      </c>
      <c r="E286" s="37" t="str">
        <f>"Dział Diagnostyki Endoskopowej"</f>
        <v>Dział Diagnostyki Endoskopowej</v>
      </c>
      <c r="F286" s="37">
        <v>2006</v>
      </c>
      <c r="G286" s="37" t="str">
        <f>"Laseroscope (USA)"</f>
        <v>Laseroscope (USA)</v>
      </c>
      <c r="H286" s="37" t="str">
        <f>"12 mies."</f>
        <v>12 mies.</v>
      </c>
      <c r="I286" s="2" t="s">
        <v>118</v>
      </c>
    </row>
    <row r="287" spans="1:9" ht="15">
      <c r="A287" s="44"/>
      <c r="B287" s="38"/>
      <c r="C287" s="38"/>
      <c r="D287" s="38"/>
      <c r="E287" s="38"/>
      <c r="F287" s="38"/>
      <c r="G287" s="38"/>
      <c r="H287" s="38"/>
      <c r="I287" s="32"/>
    </row>
    <row r="288" spans="2:9" ht="15">
      <c r="B288" s="55" t="s">
        <v>38</v>
      </c>
      <c r="C288" s="55"/>
      <c r="G288" s="55" t="s">
        <v>39</v>
      </c>
      <c r="H288" s="55"/>
      <c r="I288" s="55"/>
    </row>
    <row r="289" spans="2:9" ht="15">
      <c r="B289" s="25"/>
      <c r="C289" s="25"/>
      <c r="G289" s="25"/>
      <c r="H289" s="25"/>
      <c r="I289" s="25"/>
    </row>
    <row r="290" spans="2:9" ht="15">
      <c r="B290" s="25"/>
      <c r="C290" s="25"/>
      <c r="G290" s="25"/>
      <c r="H290" s="25"/>
      <c r="I290" s="25"/>
    </row>
    <row r="291" spans="2:9" ht="15">
      <c r="B291" s="25"/>
      <c r="C291" s="25"/>
      <c r="G291" s="25"/>
      <c r="H291" s="25"/>
      <c r="I291" s="25"/>
    </row>
    <row r="292" spans="2:9" ht="15">
      <c r="B292" s="25"/>
      <c r="C292" s="25"/>
      <c r="G292" s="25"/>
      <c r="H292" s="25"/>
      <c r="I292" s="25"/>
    </row>
    <row r="293" spans="1:9" ht="15">
      <c r="A293" s="54" t="s">
        <v>129</v>
      </c>
      <c r="B293" s="54"/>
      <c r="C293" s="54"/>
      <c r="D293" s="54"/>
      <c r="E293" s="54"/>
      <c r="F293" s="54"/>
      <c r="G293" s="54"/>
      <c r="H293" s="54"/>
      <c r="I293" s="54"/>
    </row>
    <row r="294" spans="1:9" ht="15">
      <c r="A294" s="44"/>
      <c r="B294" s="38"/>
      <c r="C294" s="38"/>
      <c r="D294" s="38"/>
      <c r="E294" s="38"/>
      <c r="F294" s="38"/>
      <c r="G294" s="38"/>
      <c r="H294" s="38"/>
      <c r="I294" s="32"/>
    </row>
    <row r="295" spans="1:9" ht="48">
      <c r="A295" s="36" t="s">
        <v>1</v>
      </c>
      <c r="B295" s="37" t="str">
        <f>"Nazwa urządzenia"</f>
        <v>Nazwa urządzenia</v>
      </c>
      <c r="C295" s="37" t="str">
        <f>"Typ"</f>
        <v>Typ</v>
      </c>
      <c r="D295" s="37" t="str">
        <f>"Nr Seryjny"</f>
        <v>Nr Seryjny</v>
      </c>
      <c r="E295" s="37" t="str">
        <f>"Jednostka Organizacyjna"</f>
        <v>Jednostka Organizacyjna</v>
      </c>
      <c r="F295" s="37" t="str">
        <f>"Rok Produkcji"</f>
        <v>Rok Produkcji</v>
      </c>
      <c r="G295" s="37" t="str">
        <f>"Producent"</f>
        <v>Producent</v>
      </c>
      <c r="H295" s="37" t="str">
        <f>"Częst. przeglądu"</f>
        <v>Częst. przeglądu</v>
      </c>
      <c r="I295" s="37" t="s">
        <v>40</v>
      </c>
    </row>
    <row r="296" spans="1:9" ht="51">
      <c r="A296" s="41" t="s">
        <v>2</v>
      </c>
      <c r="B296" s="42" t="str">
        <f>"Laser okulistyczny"</f>
        <v>Laser okulistyczny</v>
      </c>
      <c r="C296" s="42" t="str">
        <f>"Classic KTP 532nm"</f>
        <v>Classic KTP 532nm</v>
      </c>
      <c r="D296" s="42" t="str">
        <f>"701626"</f>
        <v>701626</v>
      </c>
      <c r="E296" s="42" t="str">
        <f>"Oddz. Klin. Okulistyczny"</f>
        <v>Oddz. Klin. Okulistyczny</v>
      </c>
      <c r="F296" s="42">
        <v>2014</v>
      </c>
      <c r="G296" s="42" t="str">
        <f>"ARC Laser"</f>
        <v>ARC Laser</v>
      </c>
      <c r="H296" s="42" t="str">
        <f>"12 mies."</f>
        <v>12 mies.</v>
      </c>
      <c r="I296" s="43" t="s">
        <v>118</v>
      </c>
    </row>
    <row r="297" spans="1:9" ht="24">
      <c r="A297" s="41" t="s">
        <v>3</v>
      </c>
      <c r="B297" s="37" t="str">
        <f>"Laser okulistyczny"</f>
        <v>Laser okulistyczny</v>
      </c>
      <c r="C297" s="37" t="str">
        <f>"FOX 810nm"</f>
        <v>FOX 810nm</v>
      </c>
      <c r="D297" s="37" t="str">
        <f>"601594-AAA "</f>
        <v>601594-AAA </v>
      </c>
      <c r="E297" s="37" t="str">
        <f>"Oddz. Klin. Okulistyczny"</f>
        <v>Oddz. Klin. Okulistyczny</v>
      </c>
      <c r="F297" s="37">
        <v>2009</v>
      </c>
      <c r="G297" s="37" t="str">
        <f>"ARC Laser"</f>
        <v>ARC Laser</v>
      </c>
      <c r="H297" s="37" t="str">
        <f>"12 mies."</f>
        <v>12 mies.</v>
      </c>
      <c r="I297" s="39">
        <v>43396</v>
      </c>
    </row>
    <row r="298" spans="1:9" ht="15">
      <c r="A298" s="44"/>
      <c r="B298" s="38"/>
      <c r="C298" s="38"/>
      <c r="D298" s="38"/>
      <c r="E298" s="38"/>
      <c r="F298" s="38"/>
      <c r="G298" s="38"/>
      <c r="H298" s="38"/>
      <c r="I298" s="45"/>
    </row>
    <row r="299" spans="2:9" ht="15" customHeight="1">
      <c r="B299" s="55" t="s">
        <v>38</v>
      </c>
      <c r="C299" s="55"/>
      <c r="G299" s="55" t="s">
        <v>39</v>
      </c>
      <c r="H299" s="55"/>
      <c r="I299" s="55"/>
    </row>
    <row r="300" spans="2:9" ht="15" customHeight="1">
      <c r="B300" s="25"/>
      <c r="C300" s="25"/>
      <c r="G300" s="25"/>
      <c r="H300" s="25"/>
      <c r="I300" s="25"/>
    </row>
    <row r="301" spans="2:9" ht="15" customHeight="1">
      <c r="B301" s="25"/>
      <c r="C301" s="25"/>
      <c r="G301" s="25"/>
      <c r="H301" s="25"/>
      <c r="I301" s="25"/>
    </row>
    <row r="302" spans="2:9" ht="15" customHeight="1">
      <c r="B302" s="25"/>
      <c r="C302" s="25"/>
      <c r="G302" s="25"/>
      <c r="H302" s="25"/>
      <c r="I302" s="25"/>
    </row>
    <row r="303" spans="2:9" ht="15" customHeight="1">
      <c r="B303" s="25"/>
      <c r="C303" s="25"/>
      <c r="G303" s="25"/>
      <c r="H303" s="25"/>
      <c r="I303" s="25"/>
    </row>
    <row r="304" spans="1:9" ht="15">
      <c r="A304" s="54" t="s">
        <v>130</v>
      </c>
      <c r="B304" s="54"/>
      <c r="C304" s="54"/>
      <c r="D304" s="54"/>
      <c r="E304" s="54"/>
      <c r="F304" s="54"/>
      <c r="G304" s="54"/>
      <c r="H304" s="54"/>
      <c r="I304" s="54"/>
    </row>
    <row r="305" spans="1:9" ht="15">
      <c r="A305" s="44"/>
      <c r="B305" s="38"/>
      <c r="C305" s="38"/>
      <c r="D305" s="38"/>
      <c r="E305" s="38"/>
      <c r="F305" s="38"/>
      <c r="G305" s="38"/>
      <c r="H305" s="38"/>
      <c r="I305" s="45"/>
    </row>
    <row r="306" spans="1:9" ht="48">
      <c r="A306" s="36" t="s">
        <v>1</v>
      </c>
      <c r="B306" s="37" t="str">
        <f>"Nazwa urządzenia"</f>
        <v>Nazwa urządzenia</v>
      </c>
      <c r="C306" s="37" t="str">
        <f>"Typ"</f>
        <v>Typ</v>
      </c>
      <c r="D306" s="37" t="str">
        <f>"Nr Seryjny"</f>
        <v>Nr Seryjny</v>
      </c>
      <c r="E306" s="37" t="str">
        <f>"Jednostka Organizacyjna"</f>
        <v>Jednostka Organizacyjna</v>
      </c>
      <c r="F306" s="37" t="str">
        <f>"Rok Produkcji"</f>
        <v>Rok Produkcji</v>
      </c>
      <c r="G306" s="37" t="str">
        <f>"Producent"</f>
        <v>Producent</v>
      </c>
      <c r="H306" s="37" t="str">
        <f>"Częst. przeglądu"</f>
        <v>Częst. przeglądu</v>
      </c>
      <c r="I306" s="37" t="s">
        <v>40</v>
      </c>
    </row>
    <row r="307" spans="1:9" ht="51">
      <c r="A307" s="40" t="s">
        <v>2</v>
      </c>
      <c r="B307" s="37" t="str">
        <f>"Laser okulistyczny"</f>
        <v>Laser okulistyczny</v>
      </c>
      <c r="C307" s="37" t="str">
        <f>"IRIDEX OcuLight GL"</f>
        <v>IRIDEX OcuLight GL</v>
      </c>
      <c r="D307" s="37" t="str">
        <f>"GL13373B "</f>
        <v>GL13373B </v>
      </c>
      <c r="E307" s="37" t="str">
        <f>"Poradnia Przykl. Okulistyczna"</f>
        <v>Poradnia Przykl. Okulistyczna</v>
      </c>
      <c r="F307" s="37">
        <v>1999</v>
      </c>
      <c r="G307" s="37" t="str">
        <f>"Iris Medical"</f>
        <v>Iris Medical</v>
      </c>
      <c r="H307" s="37" t="str">
        <f>"12 mies."</f>
        <v>12 mies.</v>
      </c>
      <c r="I307" s="2" t="s">
        <v>118</v>
      </c>
    </row>
    <row r="308" spans="1:9" ht="15">
      <c r="A308" s="44"/>
      <c r="B308" s="38"/>
      <c r="C308" s="38"/>
      <c r="D308" s="38"/>
      <c r="E308" s="38"/>
      <c r="F308" s="38"/>
      <c r="G308" s="38"/>
      <c r="H308" s="38"/>
      <c r="I308" s="32"/>
    </row>
    <row r="309" spans="2:9" ht="15">
      <c r="B309" s="55" t="s">
        <v>38</v>
      </c>
      <c r="C309" s="55"/>
      <c r="G309" s="55" t="s">
        <v>39</v>
      </c>
      <c r="H309" s="55"/>
      <c r="I309" s="55"/>
    </row>
    <row r="310" spans="1:9" ht="15">
      <c r="A310" s="44"/>
      <c r="B310" s="38"/>
      <c r="C310" s="38"/>
      <c r="D310" s="38"/>
      <c r="E310" s="38"/>
      <c r="F310" s="38"/>
      <c r="G310" s="38"/>
      <c r="H310" s="38"/>
      <c r="I310" s="32"/>
    </row>
    <row r="311" spans="1:9" ht="15">
      <c r="A311" s="44"/>
      <c r="B311" s="38"/>
      <c r="C311" s="38"/>
      <c r="D311" s="38"/>
      <c r="E311" s="38"/>
      <c r="F311" s="38"/>
      <c r="G311" s="38"/>
      <c r="H311" s="38"/>
      <c r="I311" s="32"/>
    </row>
    <row r="312" spans="1:9" ht="15">
      <c r="A312" s="44"/>
      <c r="B312" s="38"/>
      <c r="C312" s="38"/>
      <c r="D312" s="38"/>
      <c r="E312" s="38"/>
      <c r="F312" s="38"/>
      <c r="G312" s="38"/>
      <c r="H312" s="38"/>
      <c r="I312" s="32"/>
    </row>
    <row r="313" spans="1:9" ht="15">
      <c r="A313" s="44"/>
      <c r="B313" s="38"/>
      <c r="C313" s="38"/>
      <c r="D313" s="38"/>
      <c r="E313" s="38"/>
      <c r="F313" s="38"/>
      <c r="G313" s="38"/>
      <c r="H313" s="38"/>
      <c r="I313" s="32"/>
    </row>
    <row r="314" spans="1:9" ht="15">
      <c r="A314" s="54" t="s">
        <v>131</v>
      </c>
      <c r="B314" s="54"/>
      <c r="C314" s="54"/>
      <c r="D314" s="54"/>
      <c r="E314" s="54"/>
      <c r="F314" s="54"/>
      <c r="G314" s="54"/>
      <c r="H314" s="54"/>
      <c r="I314" s="54"/>
    </row>
    <row r="315" spans="1:9" ht="15">
      <c r="A315" s="44"/>
      <c r="B315" s="38"/>
      <c r="C315" s="38"/>
      <c r="D315" s="38"/>
      <c r="E315" s="38"/>
      <c r="F315" s="38"/>
      <c r="G315" s="38"/>
      <c r="H315" s="38"/>
      <c r="I315" s="32"/>
    </row>
    <row r="316" spans="1:9" ht="48">
      <c r="A316" s="36" t="s">
        <v>1</v>
      </c>
      <c r="B316" s="37" t="str">
        <f>"Nazwa urządzenia"</f>
        <v>Nazwa urządzenia</v>
      </c>
      <c r="C316" s="37" t="str">
        <f>"Typ"</f>
        <v>Typ</v>
      </c>
      <c r="D316" s="37" t="str">
        <f>"Nr Seryjny"</f>
        <v>Nr Seryjny</v>
      </c>
      <c r="E316" s="37" t="str">
        <f>"Jednostka Organizacyjna"</f>
        <v>Jednostka Organizacyjna</v>
      </c>
      <c r="F316" s="37" t="str">
        <f>"Rok Produkcji"</f>
        <v>Rok Produkcji</v>
      </c>
      <c r="G316" s="37" t="str">
        <f>"Producent"</f>
        <v>Producent</v>
      </c>
      <c r="H316" s="37" t="str">
        <f>"Częst. przeglądu"</f>
        <v>Częst. przeglądu</v>
      </c>
      <c r="I316" s="37" t="s">
        <v>40</v>
      </c>
    </row>
    <row r="317" spans="1:9" ht="51">
      <c r="A317" s="40" t="s">
        <v>2</v>
      </c>
      <c r="B317" s="37" t="str">
        <f>"Laser okulistyczny"</f>
        <v>Laser okulistyczny</v>
      </c>
      <c r="C317" s="37" t="str">
        <f>"SLT Solutis"</f>
        <v>SLT Solutis</v>
      </c>
      <c r="D317" s="37" t="str">
        <f>"5703039"</f>
        <v>5703039</v>
      </c>
      <c r="E317" s="37" t="str">
        <f>"Poradnia Przykl. Okulistyczna"</f>
        <v>Poradnia Przykl. Okulistyczna</v>
      </c>
      <c r="F317" s="37">
        <v>2012</v>
      </c>
      <c r="G317" s="37" t="str">
        <f>"Quantel Medical"</f>
        <v>Quantel Medical</v>
      </c>
      <c r="H317" s="37" t="str">
        <f>"12 mies."</f>
        <v>12 mies.</v>
      </c>
      <c r="I317" s="2" t="s">
        <v>118</v>
      </c>
    </row>
    <row r="318" spans="1:9" ht="15">
      <c r="A318" s="44"/>
      <c r="B318" s="38"/>
      <c r="C318" s="38"/>
      <c r="D318" s="38"/>
      <c r="E318" s="38"/>
      <c r="F318" s="38"/>
      <c r="G318" s="38"/>
      <c r="H318" s="38"/>
      <c r="I318" s="32"/>
    </row>
    <row r="319" spans="2:9" ht="15">
      <c r="B319" s="55" t="s">
        <v>38</v>
      </c>
      <c r="C319" s="55"/>
      <c r="G319" s="55" t="s">
        <v>39</v>
      </c>
      <c r="H319" s="55"/>
      <c r="I319" s="55"/>
    </row>
    <row r="320" spans="2:9" ht="15">
      <c r="B320" s="25"/>
      <c r="C320" s="25"/>
      <c r="G320" s="25"/>
      <c r="H320" s="25"/>
      <c r="I320" s="25"/>
    </row>
    <row r="321" spans="2:9" ht="15">
      <c r="B321" s="25"/>
      <c r="C321" s="25"/>
      <c r="G321" s="25"/>
      <c r="H321" s="25"/>
      <c r="I321" s="25"/>
    </row>
    <row r="322" spans="2:9" ht="15">
      <c r="B322" s="25"/>
      <c r="C322" s="25"/>
      <c r="G322" s="25"/>
      <c r="H322" s="25"/>
      <c r="I322" s="25"/>
    </row>
    <row r="323" spans="2:9" ht="15">
      <c r="B323" s="25"/>
      <c r="C323" s="25"/>
      <c r="G323" s="25"/>
      <c r="H323" s="25"/>
      <c r="I323" s="25"/>
    </row>
    <row r="324" spans="1:9" ht="15" customHeight="1">
      <c r="A324" s="54" t="s">
        <v>132</v>
      </c>
      <c r="B324" s="54"/>
      <c r="C324" s="54"/>
      <c r="D324" s="54"/>
      <c r="E324" s="54"/>
      <c r="F324" s="54"/>
      <c r="G324" s="54"/>
      <c r="H324" s="54"/>
      <c r="I324" s="54"/>
    </row>
    <row r="325" spans="1:9" ht="15">
      <c r="A325" s="44"/>
      <c r="B325" s="38"/>
      <c r="C325" s="38"/>
      <c r="D325" s="38"/>
      <c r="E325" s="38"/>
      <c r="F325" s="38"/>
      <c r="G325" s="38"/>
      <c r="H325" s="38"/>
      <c r="I325" s="32"/>
    </row>
    <row r="326" spans="1:9" ht="48">
      <c r="A326" s="36" t="s">
        <v>1</v>
      </c>
      <c r="B326" s="37" t="str">
        <f>"Nazwa urządzenia"</f>
        <v>Nazwa urządzenia</v>
      </c>
      <c r="C326" s="37" t="str">
        <f>"Typ"</f>
        <v>Typ</v>
      </c>
      <c r="D326" s="37" t="str">
        <f>"Nr Seryjny"</f>
        <v>Nr Seryjny</v>
      </c>
      <c r="E326" s="37" t="str">
        <f>"Jednostka Organizacyjna"</f>
        <v>Jednostka Organizacyjna</v>
      </c>
      <c r="F326" s="37" t="str">
        <f>"Rok Produkcji"</f>
        <v>Rok Produkcji</v>
      </c>
      <c r="G326" s="37" t="str">
        <f>"Producent"</f>
        <v>Producent</v>
      </c>
      <c r="H326" s="37" t="str">
        <f>"Częst. przeglądu"</f>
        <v>Częst. przeglądu</v>
      </c>
      <c r="I326" s="37" t="s">
        <v>40</v>
      </c>
    </row>
    <row r="327" spans="1:9" ht="24">
      <c r="A327" s="40" t="s">
        <v>2</v>
      </c>
      <c r="B327" s="37" t="str">
        <f>"Laser okulistyczny"</f>
        <v>Laser okulistyczny</v>
      </c>
      <c r="C327" s="37" t="str">
        <f>"YAG Q-Switch"</f>
        <v>YAG Q-Switch</v>
      </c>
      <c r="D327" s="37" t="str">
        <f>"YAG 40 "</f>
        <v>YAG 40 </v>
      </c>
      <c r="E327" s="37" t="str">
        <f>"Poradnia Przykl. Okulistyczna"</f>
        <v>Poradnia Przykl. Okulistyczna</v>
      </c>
      <c r="F327" s="37">
        <v>2009</v>
      </c>
      <c r="G327" s="37" t="str">
        <f>"Lightmed"</f>
        <v>Lightmed</v>
      </c>
      <c r="H327" s="37" t="str">
        <f>"12 mies."</f>
        <v>12 mies.</v>
      </c>
      <c r="I327" s="39">
        <v>43538</v>
      </c>
    </row>
    <row r="328" spans="1:9" ht="15">
      <c r="A328" s="44"/>
      <c r="B328" s="38"/>
      <c r="C328" s="38"/>
      <c r="D328" s="38"/>
      <c r="E328" s="38"/>
      <c r="F328" s="38"/>
      <c r="G328" s="38"/>
      <c r="H328" s="38"/>
      <c r="I328" s="45"/>
    </row>
    <row r="329" spans="2:9" ht="15">
      <c r="B329" s="55" t="s">
        <v>38</v>
      </c>
      <c r="C329" s="55"/>
      <c r="G329" s="55" t="s">
        <v>39</v>
      </c>
      <c r="H329" s="55"/>
      <c r="I329" s="55"/>
    </row>
    <row r="330" spans="2:9" ht="15">
      <c r="B330" s="25"/>
      <c r="C330" s="25"/>
      <c r="G330" s="25"/>
      <c r="H330" s="25"/>
      <c r="I330" s="25"/>
    </row>
    <row r="331" spans="2:9" ht="15">
      <c r="B331" s="25"/>
      <c r="C331" s="25"/>
      <c r="G331" s="25"/>
      <c r="H331" s="25"/>
      <c r="I331" s="25"/>
    </row>
    <row r="332" spans="2:9" ht="15">
      <c r="B332" s="25"/>
      <c r="C332" s="25"/>
      <c r="G332" s="25"/>
      <c r="H332" s="25"/>
      <c r="I332" s="25"/>
    </row>
    <row r="333" spans="2:9" ht="15">
      <c r="B333" s="25"/>
      <c r="C333" s="25"/>
      <c r="G333" s="25"/>
      <c r="H333" s="25"/>
      <c r="I333" s="25"/>
    </row>
    <row r="334" spans="1:9" ht="15">
      <c r="A334" s="54" t="s">
        <v>133</v>
      </c>
      <c r="B334" s="54"/>
      <c r="C334" s="54"/>
      <c r="D334" s="54"/>
      <c r="E334" s="54"/>
      <c r="F334" s="54"/>
      <c r="G334" s="54"/>
      <c r="H334" s="54"/>
      <c r="I334" s="54"/>
    </row>
    <row r="335" spans="1:9" ht="15">
      <c r="A335" s="44"/>
      <c r="B335" s="38"/>
      <c r="C335" s="38"/>
      <c r="D335" s="38"/>
      <c r="E335" s="38"/>
      <c r="F335" s="38"/>
      <c r="G335" s="38"/>
      <c r="H335" s="38"/>
      <c r="I335" s="45"/>
    </row>
    <row r="336" spans="1:9" ht="48">
      <c r="A336" s="36" t="s">
        <v>1</v>
      </c>
      <c r="B336" s="37" t="str">
        <f>"Nazwa urządzenia"</f>
        <v>Nazwa urządzenia</v>
      </c>
      <c r="C336" s="37" t="str">
        <f>"Typ"</f>
        <v>Typ</v>
      </c>
      <c r="D336" s="37" t="str">
        <f>"Nr Seryjny"</f>
        <v>Nr Seryjny</v>
      </c>
      <c r="E336" s="37" t="str">
        <f>"Jednostka Organizacyjna"</f>
        <v>Jednostka Organizacyjna</v>
      </c>
      <c r="F336" s="37" t="str">
        <f>"Rok Produkcji"</f>
        <v>Rok Produkcji</v>
      </c>
      <c r="G336" s="37" t="str">
        <f>"Producent"</f>
        <v>Producent</v>
      </c>
      <c r="H336" s="37" t="str">
        <f>"Częst. przeglądu"</f>
        <v>Częst. przeglądu</v>
      </c>
      <c r="I336" s="37" t="s">
        <v>40</v>
      </c>
    </row>
    <row r="337" spans="1:9" ht="51">
      <c r="A337" s="40" t="s">
        <v>2</v>
      </c>
      <c r="B337" s="37" t="str">
        <f>"Laser terapeutyczny"</f>
        <v>Laser terapeutyczny</v>
      </c>
      <c r="C337" s="37" t="str">
        <f>"LT 1000"</f>
        <v>LT 1000</v>
      </c>
      <c r="D337" s="37" t="str">
        <f>"7030051"</f>
        <v>7030051</v>
      </c>
      <c r="E337" s="37" t="s">
        <v>0</v>
      </c>
      <c r="F337" s="37">
        <v>1995</v>
      </c>
      <c r="G337" s="37" t="str">
        <f>"Inco Laser"</f>
        <v>Inco Laser</v>
      </c>
      <c r="H337" s="37" t="str">
        <f>"12 mies."</f>
        <v>12 mies.</v>
      </c>
      <c r="I337" s="2" t="s">
        <v>118</v>
      </c>
    </row>
    <row r="338" spans="1:9" ht="15">
      <c r="A338" s="44"/>
      <c r="B338" s="38"/>
      <c r="C338" s="38"/>
      <c r="D338" s="38"/>
      <c r="E338" s="38"/>
      <c r="F338" s="38"/>
      <c r="G338" s="38"/>
      <c r="H338" s="38"/>
      <c r="I338" s="32"/>
    </row>
    <row r="339" spans="2:9" ht="15" customHeight="1">
      <c r="B339" s="55" t="s">
        <v>38</v>
      </c>
      <c r="C339" s="55"/>
      <c r="G339" s="55" t="s">
        <v>39</v>
      </c>
      <c r="H339" s="55"/>
      <c r="I339" s="55"/>
    </row>
    <row r="340" spans="2:9" ht="15" customHeight="1">
      <c r="B340" s="25"/>
      <c r="C340" s="25"/>
      <c r="G340" s="25"/>
      <c r="H340" s="25"/>
      <c r="I340" s="25"/>
    </row>
    <row r="341" spans="2:9" ht="15" customHeight="1">
      <c r="B341" s="25"/>
      <c r="C341" s="25"/>
      <c r="G341" s="25"/>
      <c r="H341" s="25"/>
      <c r="I341" s="25"/>
    </row>
    <row r="342" spans="2:9" ht="15" customHeight="1">
      <c r="B342" s="25"/>
      <c r="C342" s="25"/>
      <c r="G342" s="25"/>
      <c r="H342" s="25"/>
      <c r="I342" s="25"/>
    </row>
    <row r="343" spans="2:9" ht="15" customHeight="1">
      <c r="B343" s="25"/>
      <c r="C343" s="25"/>
      <c r="G343" s="25"/>
      <c r="H343" s="25"/>
      <c r="I343" s="25"/>
    </row>
    <row r="344" spans="1:9" ht="15">
      <c r="A344" s="54" t="s">
        <v>134</v>
      </c>
      <c r="B344" s="54"/>
      <c r="C344" s="54"/>
      <c r="D344" s="54"/>
      <c r="E344" s="54"/>
      <c r="F344" s="54"/>
      <c r="G344" s="54"/>
      <c r="H344" s="54"/>
      <c r="I344" s="54"/>
    </row>
    <row r="345" spans="1:9" ht="15">
      <c r="A345" s="44"/>
      <c r="B345" s="38"/>
      <c r="C345" s="38"/>
      <c r="D345" s="38"/>
      <c r="E345" s="38"/>
      <c r="F345" s="38"/>
      <c r="G345" s="38"/>
      <c r="H345" s="38"/>
      <c r="I345" s="32"/>
    </row>
    <row r="346" spans="1:9" ht="48">
      <c r="A346" s="36" t="s">
        <v>1</v>
      </c>
      <c r="B346" s="37" t="str">
        <f>"Nazwa urządzenia"</f>
        <v>Nazwa urządzenia</v>
      </c>
      <c r="C346" s="37" t="str">
        <f>"Typ"</f>
        <v>Typ</v>
      </c>
      <c r="D346" s="37" t="str">
        <f>"Nr Seryjny"</f>
        <v>Nr Seryjny</v>
      </c>
      <c r="E346" s="37" t="str">
        <f>"Jednostka Organizacyjna"</f>
        <v>Jednostka Organizacyjna</v>
      </c>
      <c r="F346" s="37" t="str">
        <f>"Rok Produkcji"</f>
        <v>Rok Produkcji</v>
      </c>
      <c r="G346" s="37" t="str">
        <f>"Producent"</f>
        <v>Producent</v>
      </c>
      <c r="H346" s="37" t="str">
        <f>"Częst. przeglądu"</f>
        <v>Częst. przeglądu</v>
      </c>
      <c r="I346" s="37" t="s">
        <v>40</v>
      </c>
    </row>
    <row r="347" spans="1:9" ht="51">
      <c r="A347" s="40" t="s">
        <v>2</v>
      </c>
      <c r="B347" s="37" t="str">
        <f>"Laser urologiczny Holmowo:YAG-owy"</f>
        <v>Laser urologiczny Holmowo:YAG-owy</v>
      </c>
      <c r="C347" s="37" t="str">
        <f>"OmniPulse TM MAX 80W, REF 1210-VHP"</f>
        <v>OmniPulse TM MAX 80W, REF 1210-VHP</v>
      </c>
      <c r="D347" s="37" t="str">
        <f>"T-885/5.387.211"</f>
        <v>T-885/5.387.211</v>
      </c>
      <c r="E347" s="37" t="str">
        <f>"Dział Diagnostyki Endoskopowej"</f>
        <v>Dział Diagnostyki Endoskopowej</v>
      </c>
      <c r="F347" s="37">
        <v>2005</v>
      </c>
      <c r="G347" s="37" t="str">
        <f>"Trimedyne Inc."</f>
        <v>Trimedyne Inc.</v>
      </c>
      <c r="H347" s="37" t="str">
        <f>"12 mies."</f>
        <v>12 mies.</v>
      </c>
      <c r="I347" s="2" t="s">
        <v>118</v>
      </c>
    </row>
    <row r="348" spans="1:9" ht="15">
      <c r="A348" s="44"/>
      <c r="B348" s="38"/>
      <c r="C348" s="38"/>
      <c r="D348" s="38"/>
      <c r="E348" s="38"/>
      <c r="F348" s="38"/>
      <c r="G348" s="38"/>
      <c r="H348" s="38"/>
      <c r="I348" s="32"/>
    </row>
    <row r="349" spans="2:9" ht="15">
      <c r="B349" s="55" t="s">
        <v>38</v>
      </c>
      <c r="C349" s="55"/>
      <c r="G349" s="55" t="s">
        <v>39</v>
      </c>
      <c r="H349" s="55"/>
      <c r="I349" s="55"/>
    </row>
    <row r="350" spans="2:9" ht="15">
      <c r="B350" s="25"/>
      <c r="C350" s="25"/>
      <c r="G350" s="25"/>
      <c r="H350" s="25"/>
      <c r="I350" s="25"/>
    </row>
    <row r="351" spans="2:9" ht="15">
      <c r="B351" s="25"/>
      <c r="C351" s="25"/>
      <c r="G351" s="25"/>
      <c r="H351" s="25"/>
      <c r="I351" s="25"/>
    </row>
    <row r="352" spans="2:9" ht="15">
      <c r="B352" s="25"/>
      <c r="C352" s="25"/>
      <c r="G352" s="25"/>
      <c r="H352" s="25"/>
      <c r="I352" s="25"/>
    </row>
    <row r="353" spans="1:9" ht="15" customHeight="1">
      <c r="A353" s="54" t="s">
        <v>135</v>
      </c>
      <c r="B353" s="54"/>
      <c r="C353" s="54"/>
      <c r="D353" s="54"/>
      <c r="E353" s="54"/>
      <c r="F353" s="54"/>
      <c r="G353" s="54"/>
      <c r="H353" s="54"/>
      <c r="I353" s="54"/>
    </row>
    <row r="354" spans="1:9" ht="15">
      <c r="A354" s="44"/>
      <c r="B354" s="38"/>
      <c r="C354" s="38"/>
      <c r="D354" s="38"/>
      <c r="E354" s="38"/>
      <c r="F354" s="38"/>
      <c r="G354" s="38"/>
      <c r="H354" s="38"/>
      <c r="I354" s="32"/>
    </row>
    <row r="355" spans="1:9" ht="48">
      <c r="A355" s="36" t="s">
        <v>1</v>
      </c>
      <c r="B355" s="37" t="str">
        <f>"Nazwa urządzenia"</f>
        <v>Nazwa urządzenia</v>
      </c>
      <c r="C355" s="37" t="str">
        <f>"Typ"</f>
        <v>Typ</v>
      </c>
      <c r="D355" s="37" t="str">
        <f>"Nr Seryjny"</f>
        <v>Nr Seryjny</v>
      </c>
      <c r="E355" s="37" t="str">
        <f>"Jednostka Organizacyjna"</f>
        <v>Jednostka Organizacyjna</v>
      </c>
      <c r="F355" s="37" t="str">
        <f>"Rok Produkcji"</f>
        <v>Rok Produkcji</v>
      </c>
      <c r="G355" s="37" t="str">
        <f>"Producent"</f>
        <v>Producent</v>
      </c>
      <c r="H355" s="37" t="str">
        <f>"Częst. przeglądu"</f>
        <v>Częst. przeglądu</v>
      </c>
      <c r="I355" s="37" t="s">
        <v>40</v>
      </c>
    </row>
    <row r="356" spans="1:9" ht="51">
      <c r="A356" s="41" t="s">
        <v>2</v>
      </c>
      <c r="B356" s="42" t="str">
        <f>"Laser Zielony"</f>
        <v>Laser Zielony</v>
      </c>
      <c r="C356" s="42" t="str">
        <f>"GREEN LIGHT TM HPS"</f>
        <v>GREEN LIGHT TM HPS</v>
      </c>
      <c r="D356" s="42" t="str">
        <f>"HPS2263"</f>
        <v>HPS2263</v>
      </c>
      <c r="E356" s="42" t="str">
        <f>"Dział Diagnostyki Endoskopowej"</f>
        <v>Dział Diagnostyki Endoskopowej</v>
      </c>
      <c r="F356" s="42">
        <v>2007</v>
      </c>
      <c r="G356" s="42" t="str">
        <f>"WOLF"</f>
        <v>WOLF</v>
      </c>
      <c r="H356" s="42" t="str">
        <f>"12 mies."</f>
        <v>12 mies.</v>
      </c>
      <c r="I356" s="43" t="s">
        <v>118</v>
      </c>
    </row>
    <row r="358" spans="2:9" ht="15">
      <c r="B358" s="55" t="s">
        <v>38</v>
      </c>
      <c r="C358" s="55"/>
      <c r="G358" s="55" t="s">
        <v>39</v>
      </c>
      <c r="H358" s="55"/>
      <c r="I358" s="55"/>
    </row>
  </sheetData>
  <sheetProtection/>
  <mergeCells count="125">
    <mergeCell ref="B358:C358"/>
    <mergeCell ref="G358:I358"/>
    <mergeCell ref="B329:C329"/>
    <mergeCell ref="G329:I329"/>
    <mergeCell ref="A334:I334"/>
    <mergeCell ref="B339:C339"/>
    <mergeCell ref="G339:I339"/>
    <mergeCell ref="A344:I344"/>
    <mergeCell ref="B349:C349"/>
    <mergeCell ref="G349:I349"/>
    <mergeCell ref="A353:I353"/>
    <mergeCell ref="A304:I304"/>
    <mergeCell ref="B309:C309"/>
    <mergeCell ref="G309:I309"/>
    <mergeCell ref="A314:I314"/>
    <mergeCell ref="B319:C319"/>
    <mergeCell ref="G319:I319"/>
    <mergeCell ref="A324:I324"/>
    <mergeCell ref="A273:I273"/>
    <mergeCell ref="B278:C278"/>
    <mergeCell ref="G278:I278"/>
    <mergeCell ref="A283:I283"/>
    <mergeCell ref="B288:C288"/>
    <mergeCell ref="G288:I288"/>
    <mergeCell ref="A293:I293"/>
    <mergeCell ref="B299:C299"/>
    <mergeCell ref="G299:I299"/>
    <mergeCell ref="A262:I262"/>
    <mergeCell ref="B268:C268"/>
    <mergeCell ref="G268:I268"/>
    <mergeCell ref="A218:I218"/>
    <mergeCell ref="A229:I229"/>
    <mergeCell ref="B224:C224"/>
    <mergeCell ref="G224:I224"/>
    <mergeCell ref="B235:C235"/>
    <mergeCell ref="G235:I235"/>
    <mergeCell ref="B257:C257"/>
    <mergeCell ref="G257:I257"/>
    <mergeCell ref="A240:I240"/>
    <mergeCell ref="B247:C247"/>
    <mergeCell ref="G247:I247"/>
    <mergeCell ref="A251:I251"/>
    <mergeCell ref="A154:I154"/>
    <mergeCell ref="B194:C194"/>
    <mergeCell ref="G194:I194"/>
    <mergeCell ref="A199:I199"/>
    <mergeCell ref="B213:C213"/>
    <mergeCell ref="G213:I213"/>
    <mergeCell ref="A143:I143"/>
    <mergeCell ref="B149:C149"/>
    <mergeCell ref="G149:I149"/>
    <mergeCell ref="A114:I114"/>
    <mergeCell ref="B121:C121"/>
    <mergeCell ref="G121:I121"/>
    <mergeCell ref="A87:I87"/>
    <mergeCell ref="B96:C96"/>
    <mergeCell ref="G96:I96"/>
    <mergeCell ref="B108:C108"/>
    <mergeCell ref="G108:I108"/>
    <mergeCell ref="A101:I101"/>
    <mergeCell ref="I39:I45"/>
    <mergeCell ref="I46:I51"/>
    <mergeCell ref="I52:I58"/>
    <mergeCell ref="I59:I65"/>
    <mergeCell ref="B68:C68"/>
    <mergeCell ref="G68:I68"/>
    <mergeCell ref="A72:I72"/>
    <mergeCell ref="H52:H58"/>
    <mergeCell ref="G52:G58"/>
    <mergeCell ref="B82:C82"/>
    <mergeCell ref="G82:I82"/>
    <mergeCell ref="A52:A58"/>
    <mergeCell ref="E59:E65"/>
    <mergeCell ref="F59:F65"/>
    <mergeCell ref="G59:G65"/>
    <mergeCell ref="H59:H65"/>
    <mergeCell ref="A59:A65"/>
    <mergeCell ref="E52:E58"/>
    <mergeCell ref="F52:F58"/>
    <mergeCell ref="G32:G38"/>
    <mergeCell ref="H32:H38"/>
    <mergeCell ref="F32:F38"/>
    <mergeCell ref="E32:E38"/>
    <mergeCell ref="A32:A38"/>
    <mergeCell ref="I5:I11"/>
    <mergeCell ref="B19:C19"/>
    <mergeCell ref="G19:I19"/>
    <mergeCell ref="A24:I24"/>
    <mergeCell ref="G26:G31"/>
    <mergeCell ref="H26:H31"/>
    <mergeCell ref="F26:F31"/>
    <mergeCell ref="E26:E31"/>
    <mergeCell ref="A26:A31"/>
    <mergeCell ref="A5:A11"/>
    <mergeCell ref="E5:E11"/>
    <mergeCell ref="F5:F11"/>
    <mergeCell ref="G5:G11"/>
    <mergeCell ref="H5:H11"/>
    <mergeCell ref="I26:I31"/>
    <mergeCell ref="A39:A45"/>
    <mergeCell ref="H46:H51"/>
    <mergeCell ref="E46:E51"/>
    <mergeCell ref="F46:F51"/>
    <mergeCell ref="G46:G51"/>
    <mergeCell ref="A46:A51"/>
    <mergeCell ref="E39:E45"/>
    <mergeCell ref="F39:F45"/>
    <mergeCell ref="G39:G45"/>
    <mergeCell ref="H39:H45"/>
    <mergeCell ref="A129:A131"/>
    <mergeCell ref="A126:I126"/>
    <mergeCell ref="F129:F131"/>
    <mergeCell ref="G129:G131"/>
    <mergeCell ref="H129:H131"/>
    <mergeCell ref="E129:E131"/>
    <mergeCell ref="E1:I1"/>
    <mergeCell ref="I32:I38"/>
    <mergeCell ref="A3:I3"/>
    <mergeCell ref="B138:C138"/>
    <mergeCell ref="G138:I138"/>
    <mergeCell ref="A132:A136"/>
    <mergeCell ref="F132:F136"/>
    <mergeCell ref="G132:G136"/>
    <mergeCell ref="H132:H136"/>
    <mergeCell ref="E132:E136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3:O24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16.140625" style="0" customWidth="1"/>
    <col min="4" max="4" width="14.421875" style="0" customWidth="1"/>
    <col min="5" max="5" width="9.8515625" style="0" customWidth="1"/>
    <col min="6" max="6" width="13.57421875" style="0" customWidth="1"/>
    <col min="7" max="7" width="15.00390625" style="0" customWidth="1"/>
    <col min="8" max="8" width="20.421875" style="0" customWidth="1"/>
    <col min="9" max="9" width="17.140625" style="0" customWidth="1"/>
  </cols>
  <sheetData>
    <row r="1" ht="75.75" customHeight="1"/>
    <row r="3" ht="71.25" customHeight="1"/>
    <row r="9" ht="53.25" customHeight="1"/>
    <row r="10" ht="23.25" customHeight="1"/>
    <row r="16" ht="60.75" customHeight="1"/>
    <row r="17" ht="23.25" customHeight="1"/>
    <row r="23" ht="15">
      <c r="O23" s="23"/>
    </row>
    <row r="24" ht="15">
      <c r="O24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2018-11-16T09:14:33Z</dcterms:modified>
  <cp:category/>
  <cp:version/>
  <cp:contentType/>
  <cp:contentStatus/>
</cp:coreProperties>
</file>