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12660" activeTab="0"/>
  </bookViews>
  <sheets>
    <sheet name="export_devicelist" sheetId="1" r:id="rId1"/>
  </sheets>
  <definedNames/>
  <calcPr fullCalcOnLoad="1"/>
</workbook>
</file>

<file path=xl/sharedStrings.xml><?xml version="1.0" encoding="utf-8"?>
<sst xmlns="http://schemas.openxmlformats.org/spreadsheetml/2006/main" count="239" uniqueCount="102">
  <si>
    <t>Mikroskop badawczy do prowadzenia obserwacji w jasnym polu i polaryzacji z systemem obrazowania</t>
  </si>
  <si>
    <t>Mikroskop do obserwacji histologicznych typu "UPRIGHT"</t>
  </si>
  <si>
    <t>Bank komórek krwiotwórczych - laboratorium naukowe (Przylądek Nadziei)</t>
  </si>
  <si>
    <t xml:space="preserve">Mikroskop laboratoryjny z przystawką konsultacyjną </t>
  </si>
  <si>
    <t xml:space="preserve">Częstotliwość przeglądu </t>
  </si>
  <si>
    <t xml:space="preserve">brak przeglądu od dwóch lat </t>
  </si>
  <si>
    <t xml:space="preserve">w ciagu dwóch tygodni od podpisania umowy </t>
  </si>
  <si>
    <t xml:space="preserve"> </t>
  </si>
  <si>
    <t>USK   ul. Borowska 213</t>
  </si>
  <si>
    <t>Nazwa sprzętu</t>
  </si>
  <si>
    <t>Typ sprzętu</t>
  </si>
  <si>
    <t xml:space="preserve">numer inwentarzowy </t>
  </si>
  <si>
    <t>Nr seryjny</t>
  </si>
  <si>
    <t>jednostka organizacyjna</t>
  </si>
  <si>
    <t>Rok produkcji</t>
  </si>
  <si>
    <t>Producent</t>
  </si>
  <si>
    <t xml:space="preserve">częstotliwość przeglądów </t>
  </si>
  <si>
    <t>Mikroskop</t>
  </si>
  <si>
    <t xml:space="preserve">  OME</t>
  </si>
  <si>
    <t>1978</t>
  </si>
  <si>
    <t>Olympus</t>
  </si>
  <si>
    <t>BX 50</t>
  </si>
  <si>
    <t>3C09983</t>
  </si>
  <si>
    <t>1999</t>
  </si>
  <si>
    <t>BX41TF</t>
  </si>
  <si>
    <t>8G20090</t>
  </si>
  <si>
    <t>2008</t>
  </si>
  <si>
    <t>CX 41RF</t>
  </si>
  <si>
    <t>8F04671</t>
  </si>
  <si>
    <t>8F06492</t>
  </si>
  <si>
    <t>ECLIPSE</t>
  </si>
  <si>
    <t>Kl. Dermatologii, Wenerologii i Alergologii ul. Chałubińskiego 1</t>
  </si>
  <si>
    <t>2007</t>
  </si>
  <si>
    <t>ECLIPSE 80</t>
  </si>
  <si>
    <t>551402</t>
  </si>
  <si>
    <t>ALPHATOR 2 YS 2</t>
  </si>
  <si>
    <t>1998</t>
  </si>
  <si>
    <t>ECLIPSE E400</t>
  </si>
  <si>
    <t>672300</t>
  </si>
  <si>
    <t>111999</t>
  </si>
  <si>
    <t>Kl. Dermatologii, Wenerologii i Alergologii ul. Chałubińskiego 2</t>
  </si>
  <si>
    <t>772180</t>
  </si>
  <si>
    <t>Kl. Dermatologii, Wenerologii i Alergologii ul. Chałubińskiego 3</t>
  </si>
  <si>
    <t>AMPLIVAL</t>
  </si>
  <si>
    <t>AXIOLAB</t>
  </si>
  <si>
    <t>1997</t>
  </si>
  <si>
    <t>JENAMED</t>
  </si>
  <si>
    <t>1987</t>
  </si>
  <si>
    <t>445731</t>
  </si>
  <si>
    <t>1965</t>
  </si>
  <si>
    <t>421209</t>
  </si>
  <si>
    <t>Kl. Ginekologii i Położnictwa ul. Chałubińskiego 3</t>
  </si>
  <si>
    <t>1995</t>
  </si>
  <si>
    <t xml:space="preserve">AXIO CAM </t>
  </si>
  <si>
    <t>3527000345</t>
  </si>
  <si>
    <t>2010</t>
  </si>
  <si>
    <t>CXD31RBSF</t>
  </si>
  <si>
    <t>3K04854</t>
  </si>
  <si>
    <t>2000</t>
  </si>
  <si>
    <t>Amplival</t>
  </si>
  <si>
    <t>683207</t>
  </si>
  <si>
    <t>STUDAR</t>
  </si>
  <si>
    <t>85647</t>
  </si>
  <si>
    <t>1994</t>
  </si>
  <si>
    <t>BIOLAR</t>
  </si>
  <si>
    <t>1985</t>
  </si>
  <si>
    <t>MB30</t>
  </si>
  <si>
    <t>1989</t>
  </si>
  <si>
    <t xml:space="preserve">data następnego przeglądu </t>
  </si>
  <si>
    <t>000741</t>
  </si>
  <si>
    <t>001539</t>
  </si>
  <si>
    <t>001913</t>
  </si>
  <si>
    <t>001914</t>
  </si>
  <si>
    <t>001912</t>
  </si>
  <si>
    <t>AM/13511</t>
  </si>
  <si>
    <t>001897</t>
  </si>
  <si>
    <t>AM/13261</t>
  </si>
  <si>
    <t>AM/5047</t>
  </si>
  <si>
    <t>AM/5119</t>
  </si>
  <si>
    <t>000593</t>
  </si>
  <si>
    <t>025-04/0000014</t>
  </si>
  <si>
    <t>000190</t>
  </si>
  <si>
    <t>000594</t>
  </si>
  <si>
    <t>000591</t>
  </si>
  <si>
    <t>006/04-0000014</t>
  </si>
  <si>
    <t>AM/16629</t>
  </si>
  <si>
    <t>000627</t>
  </si>
  <si>
    <t>002232</t>
  </si>
  <si>
    <t>Poradnia Medycyny Pracy        Wybrzeże L.Pasteura 4</t>
  </si>
  <si>
    <t>Poradnia Genetyczna Wybrzeże L.Pasteura 4</t>
  </si>
  <si>
    <t>Kl.Hematologii, Nowotworów Krwi i Transplantacji Szpiku Wybrzeże L.Pasteura 4</t>
  </si>
  <si>
    <t>Dział Diagnostyki Laboratoryjnej Wybrzeże L.Pasteura 2</t>
  </si>
  <si>
    <t>Poradnia  Genetyczna  Wybrzeże L.Pasteura 4</t>
  </si>
  <si>
    <t>USK ul. M.Curie- Skłodowskiej 58</t>
  </si>
  <si>
    <t>Nicon</t>
  </si>
  <si>
    <t>Carl Zeiss</t>
  </si>
  <si>
    <t>PZO Warszawa</t>
  </si>
  <si>
    <t xml:space="preserve">Wykaz urzadzeń </t>
  </si>
  <si>
    <t>zalącznik  1b</t>
  </si>
  <si>
    <t>Wykonanie przeglądów okresowych mikroskopów  okresie 36 miesięcy</t>
  </si>
  <si>
    <t xml:space="preserve">ZAMAWIAJĄCY </t>
  </si>
  <si>
    <t xml:space="preserve">WYKONAWCA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</si>
</sst>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Arial CE"/>
      <family val="0"/>
    </font>
    <font>
      <b/>
      <sz val="9"/>
      <name val="Arial"/>
      <family val="0"/>
    </font>
    <font>
      <b/>
      <sz val="9"/>
      <name val="Calibri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2"/>
  <sheetViews>
    <sheetView tabSelected="1" workbookViewId="0" topLeftCell="A40">
      <selection activeCell="F9" sqref="F9"/>
    </sheetView>
  </sheetViews>
  <sheetFormatPr defaultColWidth="9.140625" defaultRowHeight="12.75"/>
  <cols>
    <col min="1" max="1" width="4.00390625" style="2" customWidth="1"/>
    <col min="2" max="2" width="25.28125" style="2" customWidth="1"/>
    <col min="3" max="3" width="13.57421875" style="2" customWidth="1"/>
    <col min="4" max="4" width="10.8515625" style="2" customWidth="1"/>
    <col min="5" max="5" width="12.7109375" style="2" customWidth="1"/>
    <col min="6" max="6" width="28.00390625" style="2" customWidth="1"/>
    <col min="7" max="7" width="9.140625" style="2" customWidth="1"/>
    <col min="8" max="8" width="16.57421875" style="2" customWidth="1"/>
    <col min="9" max="9" width="9.421875" style="2" customWidth="1"/>
    <col min="10" max="10" width="17.28125" style="2" customWidth="1"/>
    <col min="11" max="16384" width="9.140625" style="2" customWidth="1"/>
  </cols>
  <sheetData>
    <row r="2" spans="2:8" ht="12">
      <c r="B2" s="13" t="s">
        <v>97</v>
      </c>
      <c r="C2" s="13"/>
      <c r="D2" s="13"/>
      <c r="E2" s="13"/>
      <c r="F2" s="13"/>
      <c r="H2" s="14" t="s">
        <v>98</v>
      </c>
    </row>
    <row r="3" spans="2:6" ht="12">
      <c r="B3" s="13"/>
      <c r="C3" s="13"/>
      <c r="D3" s="13"/>
      <c r="E3" s="13"/>
      <c r="F3" s="13"/>
    </row>
    <row r="4" spans="2:6" ht="12">
      <c r="B4" s="19" t="s">
        <v>99</v>
      </c>
      <c r="C4" s="20"/>
      <c r="D4" s="20"/>
      <c r="E4" s="20"/>
      <c r="F4" s="20"/>
    </row>
    <row r="6" spans="1:10" ht="33.75">
      <c r="A6" s="1"/>
      <c r="B6" s="18" t="str">
        <f>"Nazwa urządzenia"</f>
        <v>Nazwa urządzenia</v>
      </c>
      <c r="C6" s="15" t="str">
        <f>"Typ"</f>
        <v>Typ</v>
      </c>
      <c r="D6" s="15" t="str">
        <f>"Nr Inwentarzowy"</f>
        <v>Nr Inwentarzowy</v>
      </c>
      <c r="E6" s="15" t="str">
        <f>"Nr Seryjny"</f>
        <v>Nr Seryjny</v>
      </c>
      <c r="F6" s="15" t="str">
        <f>"Jednostka Organizacyjna"</f>
        <v>Jednostka Organizacyjna</v>
      </c>
      <c r="G6" s="15" t="str">
        <f>"Rok Produkcji"</f>
        <v>Rok Produkcji</v>
      </c>
      <c r="H6" s="15" t="str">
        <f>"Producent"</f>
        <v>Producent</v>
      </c>
      <c r="I6" s="15" t="s">
        <v>4</v>
      </c>
      <c r="J6" s="15" t="str">
        <f>"Data nastepnego przeglądu"</f>
        <v>Data nastepnego przeglądu</v>
      </c>
    </row>
    <row r="7" spans="1:10" ht="12.75">
      <c r="A7" s="1"/>
      <c r="B7" s="12"/>
      <c r="C7" s="1"/>
      <c r="D7" s="1"/>
      <c r="E7" s="1"/>
      <c r="F7" s="4" t="s">
        <v>8</v>
      </c>
      <c r="G7" s="1"/>
      <c r="H7" s="1"/>
      <c r="I7" s="1"/>
      <c r="J7" s="1"/>
    </row>
    <row r="8" spans="1:10" ht="33.75">
      <c r="A8" s="1">
        <v>1</v>
      </c>
      <c r="B8" s="12" t="str">
        <f>"Mikroskop badawczy"</f>
        <v>Mikroskop badawczy</v>
      </c>
      <c r="C8" s="1" t="str">
        <f aca="true" t="shared" si="0" ref="C8:C13">"BX51"</f>
        <v>BX51</v>
      </c>
      <c r="D8" s="1" t="str">
        <f>"17590/10"</f>
        <v>17590/10</v>
      </c>
      <c r="E8" s="1" t="str">
        <f>"8M16357 "</f>
        <v>8M16357 </v>
      </c>
      <c r="F8" s="1" t="str">
        <f>"Pracownia Biologii Molekularnej"</f>
        <v>Pracownia Biologii Molekularnej</v>
      </c>
      <c r="G8" s="1">
        <v>2009</v>
      </c>
      <c r="H8" s="1" t="str">
        <f aca="true" t="shared" si="1" ref="H8:H13">"OLYMPUS"</f>
        <v>OLYMPUS</v>
      </c>
      <c r="I8" s="1">
        <v>12</v>
      </c>
      <c r="J8" s="1" t="s">
        <v>6</v>
      </c>
    </row>
    <row r="9" spans="1:10" ht="33.75">
      <c r="A9" s="1">
        <v>2</v>
      </c>
      <c r="B9" s="12" t="str">
        <f>"Mikroskop badawczy"</f>
        <v>Mikroskop badawczy</v>
      </c>
      <c r="C9" s="1" t="str">
        <f t="shared" si="0"/>
        <v>BX51</v>
      </c>
      <c r="D9" s="1" t="str">
        <f>"17592/10"</f>
        <v>17592/10</v>
      </c>
      <c r="E9" s="1" t="str">
        <f>"8M16359 "</f>
        <v>8M16359 </v>
      </c>
      <c r="F9" s="1" t="str">
        <f>"Pracownia Cytologiczna"</f>
        <v>Pracownia Cytologiczna</v>
      </c>
      <c r="G9" s="1">
        <v>2009</v>
      </c>
      <c r="H9" s="1" t="str">
        <f t="shared" si="1"/>
        <v>OLYMPUS</v>
      </c>
      <c r="I9" s="1">
        <v>12</v>
      </c>
      <c r="J9" s="1" t="s">
        <v>6</v>
      </c>
    </row>
    <row r="10" spans="1:10" ht="33.75">
      <c r="A10" s="1">
        <v>3</v>
      </c>
      <c r="B10" s="12" t="str">
        <f>"Mikroskop badawczy"</f>
        <v>Mikroskop badawczy</v>
      </c>
      <c r="C10" s="1" t="str">
        <f t="shared" si="0"/>
        <v>BX51</v>
      </c>
      <c r="D10" s="1" t="str">
        <f>"17593/10"</f>
        <v>17593/10</v>
      </c>
      <c r="E10" s="1" t="str">
        <f>"8M16364 "</f>
        <v>8M16364 </v>
      </c>
      <c r="F10" s="1" t="str">
        <f>"Pracownia Cytologiczna"</f>
        <v>Pracownia Cytologiczna</v>
      </c>
      <c r="G10" s="1">
        <v>2009</v>
      </c>
      <c r="H10" s="1" t="str">
        <f t="shared" si="1"/>
        <v>OLYMPUS</v>
      </c>
      <c r="I10" s="1">
        <v>12</v>
      </c>
      <c r="J10" s="1" t="s">
        <v>6</v>
      </c>
    </row>
    <row r="11" spans="1:10" ht="33.75">
      <c r="A11" s="1">
        <v>4</v>
      </c>
      <c r="B11" s="12" t="str">
        <f>"Mikroskop badawczy"</f>
        <v>Mikroskop badawczy</v>
      </c>
      <c r="C11" s="1" t="str">
        <f t="shared" si="0"/>
        <v>BX51</v>
      </c>
      <c r="D11" s="1" t="str">
        <f>"17591/10"</f>
        <v>17591/10</v>
      </c>
      <c r="E11" s="1" t="str">
        <f>"8M13072 "</f>
        <v>8M13072 </v>
      </c>
      <c r="F11" s="1" t="str">
        <f>"Pracownia Histopatologiczna"</f>
        <v>Pracownia Histopatologiczna</v>
      </c>
      <c r="G11" s="1">
        <v>2009</v>
      </c>
      <c r="H11" s="1" t="str">
        <f t="shared" si="1"/>
        <v>OLYMPUS</v>
      </c>
      <c r="I11" s="1">
        <v>12</v>
      </c>
      <c r="J11" s="1" t="s">
        <v>6</v>
      </c>
    </row>
    <row r="12" spans="1:10" ht="33.75">
      <c r="A12" s="1">
        <v>5</v>
      </c>
      <c r="B12" s="12" t="str">
        <f>"Mikroskop badawczy"</f>
        <v>Mikroskop badawczy</v>
      </c>
      <c r="C12" s="1" t="str">
        <f t="shared" si="0"/>
        <v>BX51</v>
      </c>
      <c r="D12" s="1" t="str">
        <f>"17594/10"</f>
        <v>17594/10</v>
      </c>
      <c r="E12" s="1" t="str">
        <f>"8M16363 "</f>
        <v>8M16363 </v>
      </c>
      <c r="F12" s="1" t="str">
        <f>"Pracownia Histopatologiczna"</f>
        <v>Pracownia Histopatologiczna</v>
      </c>
      <c r="G12" s="1">
        <v>2009</v>
      </c>
      <c r="H12" s="1" t="str">
        <f t="shared" si="1"/>
        <v>OLYMPUS</v>
      </c>
      <c r="I12" s="1">
        <v>12</v>
      </c>
      <c r="J12" s="1" t="s">
        <v>6</v>
      </c>
    </row>
    <row r="13" spans="1:10" ht="45">
      <c r="A13" s="1">
        <v>6</v>
      </c>
      <c r="B13" s="12" t="s">
        <v>0</v>
      </c>
      <c r="C13" s="1" t="str">
        <f t="shared" si="0"/>
        <v>BX51</v>
      </c>
      <c r="D13" s="1" t="str">
        <f>"17596/10"</f>
        <v>17596/10</v>
      </c>
      <c r="E13" s="1" t="str">
        <f>"9G14897 "</f>
        <v>9G14897 </v>
      </c>
      <c r="F13" s="1" t="str">
        <f>"Pracownia Histopatologiczna"</f>
        <v>Pracownia Histopatologiczna</v>
      </c>
      <c r="G13" s="1">
        <v>2009</v>
      </c>
      <c r="H13" s="1" t="str">
        <f t="shared" si="1"/>
        <v>OLYMPUS</v>
      </c>
      <c r="I13" s="1">
        <v>12</v>
      </c>
      <c r="J13" s="1" t="str">
        <f>"2018-09-14"</f>
        <v>2018-09-14</v>
      </c>
    </row>
    <row r="14" spans="1:10" ht="33.75">
      <c r="A14" s="1">
        <v>7</v>
      </c>
      <c r="B14" s="12" t="s">
        <v>1</v>
      </c>
      <c r="C14" s="1" t="str">
        <f aca="true" t="shared" si="2" ref="C14:C19">"BX45"</f>
        <v>BX45</v>
      </c>
      <c r="D14" s="1" t="str">
        <f>"17588/10"</f>
        <v>17588/10</v>
      </c>
      <c r="E14" s="1" t="str">
        <f>"8M12376 "</f>
        <v>8M12376 </v>
      </c>
      <c r="F14" s="1" t="str">
        <f>"Pracownia Biologii Molekularnej"</f>
        <v>Pracownia Biologii Molekularnej</v>
      </c>
      <c r="G14" s="1">
        <v>2009</v>
      </c>
      <c r="H14" s="1" t="str">
        <f aca="true" t="shared" si="3" ref="H14:H20">"OLYMPUS"</f>
        <v>OLYMPUS</v>
      </c>
      <c r="I14" s="1">
        <v>12</v>
      </c>
      <c r="J14" s="1" t="s">
        <v>6</v>
      </c>
    </row>
    <row r="15" spans="1:10" ht="33.75">
      <c r="A15" s="1">
        <v>8</v>
      </c>
      <c r="B15" s="12" t="s">
        <v>1</v>
      </c>
      <c r="C15" s="1" t="str">
        <f t="shared" si="2"/>
        <v>BX45</v>
      </c>
      <c r="D15" s="1" t="str">
        <f>"17412/10"</f>
        <v>17412/10</v>
      </c>
      <c r="E15" s="1" t="str">
        <f>"8M12379 "</f>
        <v>8M12379 </v>
      </c>
      <c r="F15" s="1" t="str">
        <f>"Pracownia Biologii Molekularnej"</f>
        <v>Pracownia Biologii Molekularnej</v>
      </c>
      <c r="G15" s="1">
        <v>2009</v>
      </c>
      <c r="H15" s="1" t="str">
        <f t="shared" si="3"/>
        <v>OLYMPUS</v>
      </c>
      <c r="I15" s="1">
        <v>12</v>
      </c>
      <c r="J15" s="1" t="s">
        <v>6</v>
      </c>
    </row>
    <row r="16" spans="1:10" ht="33.75">
      <c r="A16" s="1">
        <v>9</v>
      </c>
      <c r="B16" s="12" t="s">
        <v>1</v>
      </c>
      <c r="C16" s="1" t="str">
        <f t="shared" si="2"/>
        <v>BX45</v>
      </c>
      <c r="D16" s="1" t="str">
        <f>"17595/10"</f>
        <v>17595/10</v>
      </c>
      <c r="E16" s="1" t="str">
        <f>"9F10100 "</f>
        <v>9F10100 </v>
      </c>
      <c r="F16" s="1" t="str">
        <f>"Pracownia Histopatologiczna"</f>
        <v>Pracownia Histopatologiczna</v>
      </c>
      <c r="G16" s="1">
        <v>2009</v>
      </c>
      <c r="H16" s="1" t="str">
        <f t="shared" si="3"/>
        <v>OLYMPUS</v>
      </c>
      <c r="I16" s="1">
        <v>12</v>
      </c>
      <c r="J16" s="1" t="s">
        <v>6</v>
      </c>
    </row>
    <row r="17" spans="1:10" ht="33.75">
      <c r="A17" s="1">
        <v>10</v>
      </c>
      <c r="B17" s="12" t="s">
        <v>1</v>
      </c>
      <c r="C17" s="1" t="str">
        <f t="shared" si="2"/>
        <v>BX45</v>
      </c>
      <c r="D17" s="1" t="str">
        <f>"17411/10"</f>
        <v>17411/10</v>
      </c>
      <c r="E17" s="1" t="str">
        <f>"8M12377 "</f>
        <v>8M12377 </v>
      </c>
      <c r="F17" s="1" t="str">
        <f>"Pracownia Histopatologiczna"</f>
        <v>Pracownia Histopatologiczna</v>
      </c>
      <c r="G17" s="1">
        <v>2009</v>
      </c>
      <c r="H17" s="1" t="str">
        <f t="shared" si="3"/>
        <v>OLYMPUS</v>
      </c>
      <c r="I17" s="1">
        <v>12</v>
      </c>
      <c r="J17" s="1" t="s">
        <v>6</v>
      </c>
    </row>
    <row r="18" spans="1:10" ht="33.75">
      <c r="A18" s="1">
        <v>11</v>
      </c>
      <c r="B18" s="12" t="s">
        <v>1</v>
      </c>
      <c r="C18" s="1" t="str">
        <f t="shared" si="2"/>
        <v>BX45</v>
      </c>
      <c r="D18" s="1" t="str">
        <f>"17410/10"</f>
        <v>17410/10</v>
      </c>
      <c r="E18" s="1" t="str">
        <f>"9F10051 "</f>
        <v>9F10051 </v>
      </c>
      <c r="F18" s="1" t="str">
        <f>"Pracownia Immunologiczna"</f>
        <v>Pracownia Immunologiczna</v>
      </c>
      <c r="G18" s="1">
        <v>2009</v>
      </c>
      <c r="H18" s="1" t="str">
        <f t="shared" si="3"/>
        <v>OLYMPUS</v>
      </c>
      <c r="I18" s="1">
        <v>12</v>
      </c>
      <c r="J18" s="1" t="s">
        <v>6</v>
      </c>
    </row>
    <row r="19" spans="1:10" ht="33.75">
      <c r="A19" s="1">
        <v>12</v>
      </c>
      <c r="B19" s="12" t="s">
        <v>1</v>
      </c>
      <c r="C19" s="1" t="str">
        <f t="shared" si="2"/>
        <v>BX45</v>
      </c>
      <c r="D19" s="1" t="str">
        <f>"17587/10"</f>
        <v>17587/10</v>
      </c>
      <c r="E19" s="1" t="str">
        <f>"9F11782 "</f>
        <v>9F11782 </v>
      </c>
      <c r="F19" s="1" t="str">
        <f>"Pracownia Immunologiczna"</f>
        <v>Pracownia Immunologiczna</v>
      </c>
      <c r="G19" s="1">
        <v>2009</v>
      </c>
      <c r="H19" s="1" t="str">
        <f t="shared" si="3"/>
        <v>OLYMPUS</v>
      </c>
      <c r="I19" s="1">
        <v>12</v>
      </c>
      <c r="J19" s="1" t="s">
        <v>6</v>
      </c>
    </row>
    <row r="20" spans="1:10" ht="33.75">
      <c r="A20" s="1">
        <v>13</v>
      </c>
      <c r="B20" s="12" t="str">
        <f>"Mikroskop fluorescencyjny"</f>
        <v>Mikroskop fluorescencyjny</v>
      </c>
      <c r="C20" s="1" t="str">
        <f>"BX43F"</f>
        <v>BX43F</v>
      </c>
      <c r="D20" s="1" t="str">
        <f>"USK/47768"</f>
        <v>USK/47768</v>
      </c>
      <c r="E20" s="1" t="str">
        <f>"4K43758"</f>
        <v>4K43758</v>
      </c>
      <c r="F20" s="1" t="s">
        <v>2</v>
      </c>
      <c r="G20" s="1">
        <v>2014</v>
      </c>
      <c r="H20" s="1" t="str">
        <f t="shared" si="3"/>
        <v>OLYMPUS</v>
      </c>
      <c r="I20" s="1">
        <v>12</v>
      </c>
      <c r="J20" s="1" t="str">
        <f>"2018-07-25"</f>
        <v>2018-07-25</v>
      </c>
    </row>
    <row r="21" spans="1:10" ht="33.75">
      <c r="A21" s="1">
        <v>14</v>
      </c>
      <c r="B21" s="12" t="str">
        <f>"Mikroskop fluorescencyjny"</f>
        <v>Mikroskop fluorescencyjny</v>
      </c>
      <c r="C21" s="1" t="str">
        <f>"Eclipse 50i"</f>
        <v>Eclipse 50i</v>
      </c>
      <c r="D21" s="1" t="str">
        <f>"9920/07"</f>
        <v>9920/07</v>
      </c>
      <c r="E21" s="1" t="str">
        <f>"814907 + D08069"</f>
        <v>814907 + D08069</v>
      </c>
      <c r="F21" s="1" t="str">
        <f>"Laboratorium Analityczne ACDL"</f>
        <v>Laboratorium Analityczne ACDL</v>
      </c>
      <c r="G21" s="1">
        <v>2005</v>
      </c>
      <c r="H21" s="1" t="str">
        <f>"NIKON"</f>
        <v>NIKON</v>
      </c>
      <c r="I21" s="1">
        <v>12</v>
      </c>
      <c r="J21" s="1" t="s">
        <v>6</v>
      </c>
    </row>
    <row r="22" spans="1:10" ht="33.75">
      <c r="A22" s="1">
        <v>15</v>
      </c>
      <c r="B22" s="12" t="str">
        <f>"Mikroskop fluorescencyjny"</f>
        <v>Mikroskop fluorescencyjny</v>
      </c>
      <c r="C22" s="1" t="str">
        <f>"Eclipse E 200"</f>
        <v>Eclipse E 200</v>
      </c>
      <c r="D22" s="1" t="str">
        <f>"7892/01"</f>
        <v>7892/01</v>
      </c>
      <c r="E22" s="1" t="str">
        <f>"741697"</f>
        <v>741697</v>
      </c>
      <c r="F22" s="1" t="str">
        <f>"Oddz. Klin. Reumatologii i Chorób Wewn."</f>
        <v>Oddz. Klin. Reumatologii i Chorób Wewn.</v>
      </c>
      <c r="G22" s="1">
        <v>2001</v>
      </c>
      <c r="H22" s="1" t="str">
        <f>"NIKON"</f>
        <v>NIKON</v>
      </c>
      <c r="I22" s="1">
        <v>12</v>
      </c>
      <c r="J22" s="1" t="s">
        <v>6</v>
      </c>
    </row>
    <row r="23" spans="1:10" ht="33.75">
      <c r="A23" s="1">
        <v>16</v>
      </c>
      <c r="B23" s="12" t="str">
        <f>"Mikroskop fluorescencyjny"</f>
        <v>Mikroskop fluorescencyjny</v>
      </c>
      <c r="C23" s="1" t="str">
        <f>"Eclipse E 400"</f>
        <v>Eclipse E 400</v>
      </c>
      <c r="D23" s="1" t="str">
        <f>"9076/04"</f>
        <v>9076/04</v>
      </c>
      <c r="E23" s="1" t="str">
        <f>"679169 + D04049"</f>
        <v>679169 + D04049</v>
      </c>
      <c r="F23" s="1" t="str">
        <f>"Laboratorium Mikrobiologiczna ACDL"</f>
        <v>Laboratorium Mikrobiologiczna ACDL</v>
      </c>
      <c r="G23" s="1">
        <v>2003</v>
      </c>
      <c r="H23" s="1" t="str">
        <f>"NIKON"</f>
        <v>NIKON</v>
      </c>
      <c r="I23" s="1">
        <v>12</v>
      </c>
      <c r="J23" s="1" t="s">
        <v>6</v>
      </c>
    </row>
    <row r="24" spans="1:10" ht="33.75">
      <c r="A24" s="1">
        <v>17</v>
      </c>
      <c r="B24" s="12" t="str">
        <f>"Mikroskop fluorescencyjny"</f>
        <v>Mikroskop fluorescencyjny</v>
      </c>
      <c r="C24" s="1" t="str">
        <f>"EUROStar III"</f>
        <v>EUROStar III</v>
      </c>
      <c r="D24" s="1" t="str">
        <f>"dzierżawa"</f>
        <v>dzierżawa</v>
      </c>
      <c r="E24" s="1" t="str">
        <f>"16531"</f>
        <v>16531</v>
      </c>
      <c r="F24" s="1" t="str">
        <f>"Laboratorium Analityczne ACDL"</f>
        <v>Laboratorium Analityczne ACDL</v>
      </c>
      <c r="G24" s="1"/>
      <c r="H24" s="1" t="str">
        <f>"Euroimmun"</f>
        <v>Euroimmun</v>
      </c>
      <c r="I24" s="1">
        <v>12</v>
      </c>
      <c r="J24" s="1" t="s">
        <v>6</v>
      </c>
    </row>
    <row r="25" spans="1:10" ht="33.75">
      <c r="A25" s="1">
        <v>18</v>
      </c>
      <c r="B25" s="12" t="str">
        <f aca="true" t="shared" si="4" ref="B25:B39">"Mikroskop laboratoryjny"</f>
        <v>Mikroskop laboratoryjny</v>
      </c>
      <c r="C25" s="1" t="str">
        <f>"biolar"</f>
        <v>biolar</v>
      </c>
      <c r="D25" s="1" t="str">
        <f>"8130"</f>
        <v>8130</v>
      </c>
      <c r="E25" s="1" t="str">
        <f>"27879 "</f>
        <v>27879 </v>
      </c>
      <c r="F25" s="1" t="str">
        <f>"Oddz. Klin. Nefrologi Pediatr."</f>
        <v>Oddz. Klin. Nefrologi Pediatr.</v>
      </c>
      <c r="G25" s="1"/>
      <c r="H25" s="1" t="str">
        <f>"PZO WARSZAWA"</f>
        <v>PZO WARSZAWA</v>
      </c>
      <c r="I25" s="1">
        <v>12</v>
      </c>
      <c r="J25" s="1" t="s">
        <v>6</v>
      </c>
    </row>
    <row r="26" spans="1:10" ht="33.75">
      <c r="A26" s="1">
        <v>19</v>
      </c>
      <c r="B26" s="12" t="str">
        <f t="shared" si="4"/>
        <v>Mikroskop laboratoryjny</v>
      </c>
      <c r="C26" s="1" t="str">
        <f>"biolar"</f>
        <v>biolar</v>
      </c>
      <c r="D26" s="1" t="str">
        <f>"1986/92"</f>
        <v>1986/92</v>
      </c>
      <c r="E26" s="1" t="str">
        <f>"27600"</f>
        <v>27600</v>
      </c>
      <c r="F26" s="1" t="str">
        <f>"Oddz. Klin. Neurologii, Udarowy"</f>
        <v>Oddz. Klin. Neurologii, Udarowy</v>
      </c>
      <c r="G26" s="1">
        <v>1986</v>
      </c>
      <c r="H26" s="1" t="str">
        <f>"PZO WARSZAWA"</f>
        <v>PZO WARSZAWA</v>
      </c>
      <c r="I26" s="1">
        <v>12</v>
      </c>
      <c r="J26" s="1" t="s">
        <v>6</v>
      </c>
    </row>
    <row r="27" spans="1:10" ht="33.75">
      <c r="A27" s="1">
        <v>20</v>
      </c>
      <c r="B27" s="12" t="str">
        <f t="shared" si="4"/>
        <v>Mikroskop laboratoryjny</v>
      </c>
      <c r="C27" s="1" t="str">
        <f>"CX-21"</f>
        <v>CX-21</v>
      </c>
      <c r="D27" s="1" t="str">
        <f>"D-802-0272"</f>
        <v>D-802-0272</v>
      </c>
      <c r="E27" s="1" t="str">
        <f>"4C00655"</f>
        <v>4C00655</v>
      </c>
      <c r="F27" s="1" t="str">
        <f>"Laboratorium Analityczne ACDL"</f>
        <v>Laboratorium Analityczne ACDL</v>
      </c>
      <c r="G27" s="1">
        <v>2004</v>
      </c>
      <c r="H27" s="1" t="str">
        <f>"OLYMPUS"</f>
        <v>OLYMPUS</v>
      </c>
      <c r="I27" s="1">
        <v>12</v>
      </c>
      <c r="J27" s="1" t="s">
        <v>6</v>
      </c>
    </row>
    <row r="28" spans="1:10" ht="33.75">
      <c r="A28" s="1">
        <v>21</v>
      </c>
      <c r="B28" s="12" t="str">
        <f t="shared" si="4"/>
        <v>Mikroskop laboratoryjny</v>
      </c>
      <c r="C28" s="1" t="str">
        <f>"CX-31"</f>
        <v>CX-31</v>
      </c>
      <c r="D28" s="1" t="str">
        <f>"D-802-0258"</f>
        <v>D-802-0258</v>
      </c>
      <c r="E28" s="1" t="str">
        <f>"1k00817 "</f>
        <v>1k00817 </v>
      </c>
      <c r="F28" s="1" t="str">
        <f>"Laboratorium Analityczne ACDL"</f>
        <v>Laboratorium Analityczne ACDL</v>
      </c>
      <c r="G28" s="1">
        <v>2002</v>
      </c>
      <c r="H28" s="1" t="str">
        <f>"OLYMPUS"</f>
        <v>OLYMPUS</v>
      </c>
      <c r="I28" s="1">
        <v>12</v>
      </c>
      <c r="J28" s="1" t="s">
        <v>6</v>
      </c>
    </row>
    <row r="29" spans="1:10" ht="33.75">
      <c r="A29" s="1">
        <v>22</v>
      </c>
      <c r="B29" s="12" t="str">
        <f t="shared" si="4"/>
        <v>Mikroskop laboratoryjny</v>
      </c>
      <c r="C29" s="1" t="str">
        <f>"Eclipse E 200"</f>
        <v>Eclipse E 200</v>
      </c>
      <c r="D29" s="1" t="str">
        <f>"9017/04"</f>
        <v>9017/04</v>
      </c>
      <c r="E29" s="1" t="str">
        <f>"842073"</f>
        <v>842073</v>
      </c>
      <c r="F29" s="1" t="str">
        <f>"Laboratorium Analityczne ACDL"</f>
        <v>Laboratorium Analityczne ACDL</v>
      </c>
      <c r="G29" s="1">
        <v>2004</v>
      </c>
      <c r="H29" s="1" t="str">
        <f aca="true" t="shared" si="5" ref="H29:H34">"NIKON"</f>
        <v>NIKON</v>
      </c>
      <c r="I29" s="1">
        <v>12</v>
      </c>
      <c r="J29" s="1" t="s">
        <v>6</v>
      </c>
    </row>
    <row r="30" spans="1:10" ht="33.75">
      <c r="A30" s="1">
        <v>23</v>
      </c>
      <c r="B30" s="12" t="str">
        <f t="shared" si="4"/>
        <v>Mikroskop laboratoryjny</v>
      </c>
      <c r="C30" s="1" t="str">
        <f>"Eclipse E 200"</f>
        <v>Eclipse E 200</v>
      </c>
      <c r="D30" s="1" t="str">
        <f>"9077/04"</f>
        <v>9077/04</v>
      </c>
      <c r="E30" s="1" t="str">
        <f>"762609"</f>
        <v>762609</v>
      </c>
      <c r="F30" s="1" t="str">
        <f>"Laboratorium Analityczne ACDL"</f>
        <v>Laboratorium Analityczne ACDL</v>
      </c>
      <c r="G30" s="1">
        <v>2003</v>
      </c>
      <c r="H30" s="1" t="str">
        <f t="shared" si="5"/>
        <v>NIKON</v>
      </c>
      <c r="I30" s="1">
        <v>12</v>
      </c>
      <c r="J30" s="1" t="s">
        <v>6</v>
      </c>
    </row>
    <row r="31" spans="1:10" ht="33.75">
      <c r="A31" s="1">
        <v>24</v>
      </c>
      <c r="B31" s="12" t="str">
        <f t="shared" si="4"/>
        <v>Mikroskop laboratoryjny</v>
      </c>
      <c r="C31" s="1" t="str">
        <f>"Eclipse E 200"</f>
        <v>Eclipse E 200</v>
      </c>
      <c r="D31" s="1" t="str">
        <f>"9078/04"</f>
        <v>9078/04</v>
      </c>
      <c r="E31" s="1" t="str">
        <f>"762608"</f>
        <v>762608</v>
      </c>
      <c r="F31" s="1" t="str">
        <f>"Laboratorium Analityczne ACDL"</f>
        <v>Laboratorium Analityczne ACDL</v>
      </c>
      <c r="G31" s="1">
        <v>2003</v>
      </c>
      <c r="H31" s="1" t="str">
        <f t="shared" si="5"/>
        <v>NIKON</v>
      </c>
      <c r="I31" s="1">
        <v>12</v>
      </c>
      <c r="J31" s="1" t="s">
        <v>6</v>
      </c>
    </row>
    <row r="32" spans="1:10" ht="33.75">
      <c r="A32" s="1">
        <v>25</v>
      </c>
      <c r="B32" s="12" t="str">
        <f t="shared" si="4"/>
        <v>Mikroskop laboratoryjny</v>
      </c>
      <c r="C32" s="1" t="str">
        <f>"Eclipse E 200"</f>
        <v>Eclipse E 200</v>
      </c>
      <c r="D32" s="1" t="str">
        <f>"10797/07"</f>
        <v>10797/07</v>
      </c>
      <c r="E32" s="1" t="str">
        <f>"943072"</f>
        <v>943072</v>
      </c>
      <c r="F32" s="1" t="str">
        <f>"Laboratorium Biologii Molekularnej"</f>
        <v>Laboratorium Biologii Molekularnej</v>
      </c>
      <c r="G32" s="1">
        <v>2006</v>
      </c>
      <c r="H32" s="1" t="str">
        <f t="shared" si="5"/>
        <v>NIKON</v>
      </c>
      <c r="I32" s="1">
        <v>12</v>
      </c>
      <c r="J32" s="1" t="s">
        <v>6</v>
      </c>
    </row>
    <row r="33" spans="1:10" ht="33.75">
      <c r="A33" s="1">
        <v>26</v>
      </c>
      <c r="B33" s="12" t="str">
        <f t="shared" si="4"/>
        <v>Mikroskop laboratoryjny</v>
      </c>
      <c r="C33" s="1" t="str">
        <f>"Eclipse E 200"</f>
        <v>Eclipse E 200</v>
      </c>
      <c r="D33" s="1" t="str">
        <f>"9018/04"</f>
        <v>9018/04</v>
      </c>
      <c r="E33" s="1" t="str">
        <f>"842295"</f>
        <v>842295</v>
      </c>
      <c r="F33" s="1" t="str">
        <f>"Laboratorium Mikrobiologiczna ACDL"</f>
        <v>Laboratorium Mikrobiologiczna ACDL</v>
      </c>
      <c r="G33" s="1">
        <v>2004</v>
      </c>
      <c r="H33" s="1" t="str">
        <f t="shared" si="5"/>
        <v>NIKON</v>
      </c>
      <c r="I33" s="1">
        <v>12</v>
      </c>
      <c r="J33" s="1" t="s">
        <v>6</v>
      </c>
    </row>
    <row r="34" spans="1:10" ht="33.75">
      <c r="A34" s="1">
        <v>27</v>
      </c>
      <c r="B34" s="12" t="str">
        <f t="shared" si="4"/>
        <v>Mikroskop laboratoryjny</v>
      </c>
      <c r="C34" s="1" t="str">
        <f>"Eclipse E 200F"</f>
        <v>Eclipse E 200F</v>
      </c>
      <c r="D34" s="1" t="str">
        <f>"10798/07"</f>
        <v>10798/07</v>
      </c>
      <c r="E34" s="1" t="str">
        <f>"942848 "</f>
        <v>942848 </v>
      </c>
      <c r="F34" s="1" t="str">
        <f>"Laboratorium Analityczne ACDL"</f>
        <v>Laboratorium Analityczne ACDL</v>
      </c>
      <c r="G34" s="1">
        <v>2006</v>
      </c>
      <c r="H34" s="1" t="str">
        <f t="shared" si="5"/>
        <v>NIKON</v>
      </c>
      <c r="I34" s="1">
        <v>12</v>
      </c>
      <c r="J34" s="1" t="s">
        <v>6</v>
      </c>
    </row>
    <row r="35" spans="1:10" ht="33.75">
      <c r="A35" s="1">
        <v>28</v>
      </c>
      <c r="B35" s="12" t="str">
        <f t="shared" si="4"/>
        <v>Mikroskop laboratoryjny</v>
      </c>
      <c r="C35" s="1" t="str">
        <f>"ICS Standard 25"</f>
        <v>ICS Standard 25</v>
      </c>
      <c r="D35" s="1" t="str">
        <f>"T-802-0735"</f>
        <v>T-802-0735</v>
      </c>
      <c r="E35" s="1" t="str">
        <f>"26340/97"</f>
        <v>26340/97</v>
      </c>
      <c r="F35" s="1" t="str">
        <f>"Pracownia Histopatologiczna"</f>
        <v>Pracownia Histopatologiczna</v>
      </c>
      <c r="G35" s="1">
        <v>1997</v>
      </c>
      <c r="H35" s="1" t="str">
        <f>"CARL ZEISS"</f>
        <v>CARL ZEISS</v>
      </c>
      <c r="I35" s="1">
        <v>12</v>
      </c>
      <c r="J35" s="1" t="s">
        <v>6</v>
      </c>
    </row>
    <row r="36" spans="1:10" ht="33.75">
      <c r="A36" s="1">
        <v>29</v>
      </c>
      <c r="B36" s="12" t="str">
        <f t="shared" si="4"/>
        <v>Mikroskop laboratoryjny</v>
      </c>
      <c r="C36" s="1" t="str">
        <f>"Jenamed"</f>
        <v>Jenamed</v>
      </c>
      <c r="D36" s="1" t="str">
        <f>"PSK-3/1-TLN-46/88"</f>
        <v>PSK-3/1-TLN-46/88</v>
      </c>
      <c r="E36" s="1" t="str">
        <f>"858456"</f>
        <v>858456</v>
      </c>
      <c r="F36" s="1" t="str">
        <f>"Oddz. Klin. Angiologii, Nad.Tętn, Diabet."</f>
        <v>Oddz. Klin. Angiologii, Nad.Tętn, Diabet.</v>
      </c>
      <c r="G36" s="1">
        <v>1988</v>
      </c>
      <c r="H36" s="1" t="str">
        <f>"CARL ZEISS"</f>
        <v>CARL ZEISS</v>
      </c>
      <c r="I36" s="1">
        <v>12</v>
      </c>
      <c r="J36" s="1" t="s">
        <v>6</v>
      </c>
    </row>
    <row r="37" spans="1:10" ht="33.75">
      <c r="A37" s="1">
        <v>30</v>
      </c>
      <c r="B37" s="12" t="str">
        <f t="shared" si="4"/>
        <v>Mikroskop laboratoryjny</v>
      </c>
      <c r="C37" s="1" t="str">
        <f>"Jenamed"</f>
        <v>Jenamed</v>
      </c>
      <c r="D37" s="1" t="str">
        <f>"850/85 (45-00-01/77)"</f>
        <v>850/85 (45-00-01/77)</v>
      </c>
      <c r="E37" s="1" t="str">
        <f>"742129 "</f>
        <v>742129 </v>
      </c>
      <c r="F37" s="1" t="str">
        <f>"Oddz. Klin. Neurologii, Udarowy"</f>
        <v>Oddz. Klin. Neurologii, Udarowy</v>
      </c>
      <c r="G37" s="1">
        <v>1985</v>
      </c>
      <c r="H37" s="1" t="str">
        <f>"CARL ZEISS"</f>
        <v>CARL ZEISS</v>
      </c>
      <c r="I37" s="1">
        <v>12</v>
      </c>
      <c r="J37" s="1" t="s">
        <v>6</v>
      </c>
    </row>
    <row r="38" spans="1:10" ht="33.75">
      <c r="A38" s="1">
        <v>31</v>
      </c>
      <c r="B38" s="12" t="str">
        <f t="shared" si="4"/>
        <v>Mikroskop laboratoryjny</v>
      </c>
      <c r="C38" s="1" t="str">
        <f>"Jenamed 2"</f>
        <v>Jenamed 2</v>
      </c>
      <c r="D38" s="1" t="str">
        <f>"D-802-0148/91"</f>
        <v>D-802-0148/91</v>
      </c>
      <c r="E38" s="1" t="str">
        <f>"863946 "</f>
        <v>863946 </v>
      </c>
      <c r="F38" s="1" t="str">
        <f>"Laboratorium Analityczne ACDL"</f>
        <v>Laboratorium Analityczne ACDL</v>
      </c>
      <c r="G38" s="1">
        <v>1991</v>
      </c>
      <c r="H38" s="1" t="str">
        <f>"CARL ZEISS"</f>
        <v>CARL ZEISS</v>
      </c>
      <c r="I38" s="1">
        <v>12</v>
      </c>
      <c r="J38" s="1" t="s">
        <v>6</v>
      </c>
    </row>
    <row r="39" spans="1:11" ht="22.5">
      <c r="A39" s="1">
        <v>32</v>
      </c>
      <c r="B39" s="12" t="str">
        <f t="shared" si="4"/>
        <v>Mikroskop laboratoryjny</v>
      </c>
      <c r="C39" s="1" t="str">
        <f>"Zeiss"</f>
        <v>Zeiss</v>
      </c>
      <c r="D39" s="1" t="str">
        <f>"A 803-0098"</f>
        <v>A 803-0098</v>
      </c>
      <c r="E39" s="1" t="str">
        <f>"brak"</f>
        <v>brak</v>
      </c>
      <c r="F39" s="1" t="str">
        <f>"DZIAŁ DIAGNOSTYKI LABORATORYJNEJ"</f>
        <v>DZIAŁ DIAGNOSTYKI LABORATORYJNEJ</v>
      </c>
      <c r="G39" s="1"/>
      <c r="H39" s="1" t="str">
        <f>"CARL ZEISS"</f>
        <v>CARL ZEISS</v>
      </c>
      <c r="I39" s="1">
        <v>12</v>
      </c>
      <c r="J39" s="3" t="s">
        <v>5</v>
      </c>
      <c r="K39" s="2" t="s">
        <v>7</v>
      </c>
    </row>
    <row r="40" spans="1:10" ht="33.75">
      <c r="A40" s="1">
        <v>33</v>
      </c>
      <c r="B40" s="12" t="str">
        <f>"Mikroskop laboratoryjny z mikrofotografią cyfrową "</f>
        <v>Mikroskop laboratoryjny z mikrofotografią cyfrową </v>
      </c>
      <c r="C40" s="1" t="str">
        <f>"Eclipse E 600"</f>
        <v>Eclipse E 600</v>
      </c>
      <c r="D40" s="1" t="str">
        <f>"9094/04"</f>
        <v>9094/04</v>
      </c>
      <c r="E40" s="1" t="str">
        <f>"726195"</f>
        <v>726195</v>
      </c>
      <c r="F40" s="1" t="str">
        <f>"Laboratorium Analityczne ACDL"</f>
        <v>Laboratorium Analityczne ACDL</v>
      </c>
      <c r="G40" s="1">
        <v>2003</v>
      </c>
      <c r="H40" s="1" t="str">
        <f>"NIKON"</f>
        <v>NIKON</v>
      </c>
      <c r="I40" s="1">
        <v>12</v>
      </c>
      <c r="J40" s="1" t="s">
        <v>6</v>
      </c>
    </row>
    <row r="41" spans="1:10" ht="33.75">
      <c r="A41" s="1">
        <v>34</v>
      </c>
      <c r="B41" s="12" t="s">
        <v>3</v>
      </c>
      <c r="C41" s="1" t="str">
        <f>"Eclipse E 600"</f>
        <v>Eclipse E 600</v>
      </c>
      <c r="D41" s="1" t="str">
        <f>"9084/04"</f>
        <v>9084/04</v>
      </c>
      <c r="E41" s="1" t="str">
        <f>"726184 + 212310"</f>
        <v>726184 + 212310</v>
      </c>
      <c r="F41" s="1" t="str">
        <f>"Laboratorium Analityczne ACDL"</f>
        <v>Laboratorium Analityczne ACDL</v>
      </c>
      <c r="G41" s="1">
        <v>2003</v>
      </c>
      <c r="H41" s="1" t="str">
        <f>"NIKON"</f>
        <v>NIKON</v>
      </c>
      <c r="I41" s="1">
        <v>12</v>
      </c>
      <c r="J41" s="1" t="s">
        <v>6</v>
      </c>
    </row>
    <row r="42" spans="1:10" ht="22.5">
      <c r="A42" s="1">
        <v>35</v>
      </c>
      <c r="B42" s="12" t="str">
        <f>"Mikroskop mikrobiologiczny"</f>
        <v>Mikroskop mikrobiologiczny</v>
      </c>
      <c r="C42" s="1" t="str">
        <f>"BX53F"</f>
        <v>BX53F</v>
      </c>
      <c r="D42" s="1" t="str">
        <f>"USK/47775"</f>
        <v>USK/47775</v>
      </c>
      <c r="E42" s="1" t="str">
        <f>"5A44227"</f>
        <v>5A44227</v>
      </c>
      <c r="F42" s="1" t="str">
        <f>"Laboratorium Mikrobiologiczne (Przylądek Nadziei)"</f>
        <v>Laboratorium Mikrobiologiczne (Przylądek Nadziei)</v>
      </c>
      <c r="G42" s="1">
        <v>2015</v>
      </c>
      <c r="H42" s="1" t="str">
        <f>"OLYMPUS"</f>
        <v>OLYMPUS</v>
      </c>
      <c r="I42" s="1">
        <v>12</v>
      </c>
      <c r="J42" s="1" t="str">
        <f>"2018-07-25"</f>
        <v>2018-07-25</v>
      </c>
    </row>
    <row r="43" spans="1:10" ht="33.75">
      <c r="A43" s="1">
        <v>36</v>
      </c>
      <c r="B43" s="12" t="str">
        <f>"Mikroskop morfologiczny"</f>
        <v>Mikroskop morfologiczny</v>
      </c>
      <c r="C43" s="1" t="str">
        <f>"BX53F"</f>
        <v>BX53F</v>
      </c>
      <c r="D43" s="1" t="str">
        <f>"USK/47772"</f>
        <v>USK/47772</v>
      </c>
      <c r="E43" s="1" t="str">
        <f>"4L45031"</f>
        <v>4L45031</v>
      </c>
      <c r="F43" s="1" t="s">
        <v>2</v>
      </c>
      <c r="G43" s="1">
        <v>2014</v>
      </c>
      <c r="H43" s="1" t="str">
        <f>"OLYMPUS"</f>
        <v>OLYMPUS</v>
      </c>
      <c r="I43" s="1">
        <v>12</v>
      </c>
      <c r="J43" s="1" t="str">
        <f>"2018-07-25"</f>
        <v>2018-07-25</v>
      </c>
    </row>
    <row r="44" spans="1:10" ht="33.75">
      <c r="A44" s="1">
        <v>37</v>
      </c>
      <c r="B44" s="12" t="str">
        <f>"Mikroskop morfologiczny"</f>
        <v>Mikroskop morfologiczny</v>
      </c>
      <c r="C44" s="1" t="str">
        <f>"BX53F"</f>
        <v>BX53F</v>
      </c>
      <c r="D44" s="1" t="str">
        <f>"USK/47773"</f>
        <v>USK/47773</v>
      </c>
      <c r="E44" s="1" t="str">
        <f>"4L45033"</f>
        <v>4L45033</v>
      </c>
      <c r="F44" s="1" t="s">
        <v>2</v>
      </c>
      <c r="G44" s="1">
        <v>2014</v>
      </c>
      <c r="H44" s="1" t="str">
        <f>"OLYMPUS"</f>
        <v>OLYMPUS</v>
      </c>
      <c r="I44" s="1">
        <v>12</v>
      </c>
      <c r="J44" s="1" t="str">
        <f>"2018-07-25"</f>
        <v>2018-07-25</v>
      </c>
    </row>
    <row r="45" spans="1:10" ht="33.75">
      <c r="A45" s="1">
        <v>38</v>
      </c>
      <c r="B45" s="12" t="str">
        <f>"Mikroskop odwrócony"</f>
        <v>Mikroskop odwrócony</v>
      </c>
      <c r="C45" s="1" t="str">
        <f>"Axivert"</f>
        <v>Axivert</v>
      </c>
      <c r="D45" s="1" t="str">
        <f>"7893/01"</f>
        <v>7893/01</v>
      </c>
      <c r="E45" s="1"/>
      <c r="F45" s="1" t="str">
        <f>"Oddz. Klin. Reumatologii i Chorób Wewn."</f>
        <v>Oddz. Klin. Reumatologii i Chorób Wewn.</v>
      </c>
      <c r="G45" s="1">
        <v>2001</v>
      </c>
      <c r="H45" s="1" t="str">
        <f>"CARL ZEISS"</f>
        <v>CARL ZEISS</v>
      </c>
      <c r="I45" s="1">
        <v>12</v>
      </c>
      <c r="J45" s="1" t="s">
        <v>6</v>
      </c>
    </row>
    <row r="46" spans="1:10" ht="11.25">
      <c r="A46" s="1">
        <v>39</v>
      </c>
      <c r="B46" s="12" t="str">
        <f aca="true" t="shared" si="6" ref="B46:B59">"Mikroskop Operacyjny"</f>
        <v>Mikroskop Operacyjny</v>
      </c>
      <c r="C46" s="1" t="str">
        <f>"brak"</f>
        <v>brak</v>
      </c>
      <c r="D46" s="1">
        <f>""</f>
      </c>
      <c r="E46" s="1" t="str">
        <f>"1572"</f>
        <v>1572</v>
      </c>
      <c r="F46" s="1" t="str">
        <f>"Blok Op. Chirurgii Urazowo - Ortoped."</f>
        <v>Blok Op. Chirurgii Urazowo - Ortoped.</v>
      </c>
      <c r="G46" s="1">
        <v>1998</v>
      </c>
      <c r="H46" s="1" t="str">
        <f>"PZO WARSZAWA"</f>
        <v>PZO WARSZAWA</v>
      </c>
      <c r="I46" s="1">
        <v>12</v>
      </c>
      <c r="J46" s="1" t="str">
        <f>"2018-07-17"</f>
        <v>2018-07-17</v>
      </c>
    </row>
    <row r="47" spans="1:10" ht="11.25">
      <c r="A47" s="1">
        <v>40</v>
      </c>
      <c r="B47" s="12" t="str">
        <f t="shared" si="6"/>
        <v>Mikroskop Operacyjny</v>
      </c>
      <c r="C47" s="1" t="str">
        <f>"brak"</f>
        <v>brak</v>
      </c>
      <c r="D47" s="1">
        <f>""</f>
      </c>
      <c r="E47" s="1" t="str">
        <f>"1706"</f>
        <v>1706</v>
      </c>
      <c r="F47" s="1" t="str">
        <f>"Blok Op. Chirurgii Urazowo - Ortoped."</f>
        <v>Blok Op. Chirurgii Urazowo - Ortoped.</v>
      </c>
      <c r="G47" s="1">
        <v>1998</v>
      </c>
      <c r="H47" s="1" t="str">
        <f>"PZO WARSZAWA"</f>
        <v>PZO WARSZAWA</v>
      </c>
      <c r="I47" s="1">
        <v>12</v>
      </c>
      <c r="J47" s="1" t="str">
        <f>"2018-07-17"</f>
        <v>2018-07-17</v>
      </c>
    </row>
    <row r="48" spans="1:10" ht="11.25">
      <c r="A48" s="1">
        <v>41</v>
      </c>
      <c r="B48" s="12" t="str">
        <f t="shared" si="6"/>
        <v>Mikroskop Operacyjny</v>
      </c>
      <c r="C48" s="1" t="str">
        <f>"Leica M844/F40"</f>
        <v>Leica M844/F40</v>
      </c>
      <c r="D48" s="1" t="str">
        <f>"A-802-0747"</f>
        <v>A-802-0747</v>
      </c>
      <c r="E48" s="1" t="str">
        <f>"031108001 "</f>
        <v>031108001 </v>
      </c>
      <c r="F48" s="1" t="str">
        <f>"Sala Op.Przykliniczna Okulistyczna"</f>
        <v>Sala Op.Przykliniczna Okulistyczna</v>
      </c>
      <c r="G48" s="1">
        <v>2008</v>
      </c>
      <c r="H48" s="1" t="str">
        <f>"Leica Microsystems"</f>
        <v>Leica Microsystems</v>
      </c>
      <c r="I48" s="1">
        <v>12</v>
      </c>
      <c r="J48" s="1" t="str">
        <f>"2018-07-17"</f>
        <v>2018-07-17</v>
      </c>
    </row>
    <row r="49" spans="1:10" ht="33.75">
      <c r="A49" s="1">
        <v>42</v>
      </c>
      <c r="B49" s="12" t="str">
        <f t="shared" si="6"/>
        <v>Mikroskop Operacyjny</v>
      </c>
      <c r="C49" s="1" t="str">
        <f>"Ophtamic 900, FS 3-21"</f>
        <v>Ophtamic 900, FS 3-21</v>
      </c>
      <c r="D49" s="1" t="str">
        <f>"A-802-0743"</f>
        <v>A-802-0743</v>
      </c>
      <c r="E49" s="1" t="str">
        <f>"D-22880 "</f>
        <v>D-22880 </v>
      </c>
      <c r="F49" s="1" t="str">
        <f>"Sala Op.Przykliniczna Okulistyczna"</f>
        <v>Sala Op.Przykliniczna Okulistyczna</v>
      </c>
      <c r="G49" s="1">
        <v>2008</v>
      </c>
      <c r="H49" s="1" t="str">
        <f>"Moller - Wedel"</f>
        <v>Moller - Wedel</v>
      </c>
      <c r="I49" s="1">
        <v>12</v>
      </c>
      <c r="J49" s="1" t="s">
        <v>6</v>
      </c>
    </row>
    <row r="50" spans="1:11" ht="22.5">
      <c r="A50" s="1">
        <v>43</v>
      </c>
      <c r="B50" s="12" t="str">
        <f t="shared" si="6"/>
        <v>Mikroskop Operacyjny</v>
      </c>
      <c r="C50" s="1" t="str">
        <f>"OPMI CS/NC"</f>
        <v>OPMI CS/NC</v>
      </c>
      <c r="D50" s="1" t="str">
        <f>"3519/96"</f>
        <v>3519/96</v>
      </c>
      <c r="E50" s="1"/>
      <c r="F50" s="1" t="str">
        <f>"Blok Op. Neurochirurgii"</f>
        <v>Blok Op. Neurochirurgii</v>
      </c>
      <c r="G50" s="1">
        <v>1996</v>
      </c>
      <c r="H50" s="1" t="str">
        <f aca="true" t="shared" si="7" ref="H50:H58">"CARL ZEISS"</f>
        <v>CARL ZEISS</v>
      </c>
      <c r="I50" s="1">
        <v>12</v>
      </c>
      <c r="J50" s="3" t="s">
        <v>5</v>
      </c>
      <c r="K50" s="2" t="s">
        <v>7</v>
      </c>
    </row>
    <row r="51" spans="1:10" ht="56.25">
      <c r="A51" s="1">
        <v>44</v>
      </c>
      <c r="B51" s="12" t="str">
        <f t="shared" si="6"/>
        <v>Mikroskop Operacyjny</v>
      </c>
      <c r="C51" s="1" t="str">
        <f>"OPMI CS/NC + NC31 + Superlux 300 + Varioskop AF"</f>
        <v>OPMI CS/NC + NC31 + Superlux 300 + Varioskop AF</v>
      </c>
      <c r="D51" s="1" t="str">
        <f>"3519/96"</f>
        <v>3519/96</v>
      </c>
      <c r="E51" s="1" t="str">
        <f>"246355 + 229682 + 244434 + 250074 + 238462 "</f>
        <v>246355 + 229682 + 244434 + 250074 + 238462 </v>
      </c>
      <c r="F51" s="1" t="str">
        <f>"Blok Op. Neurochirurgii"</f>
        <v>Blok Op. Neurochirurgii</v>
      </c>
      <c r="G51" s="1">
        <v>1996</v>
      </c>
      <c r="H51" s="1" t="str">
        <f t="shared" si="7"/>
        <v>CARL ZEISS</v>
      </c>
      <c r="I51" s="1">
        <v>12</v>
      </c>
      <c r="J51" s="1" t="s">
        <v>6</v>
      </c>
    </row>
    <row r="52" spans="1:10" ht="45">
      <c r="A52" s="1">
        <v>45</v>
      </c>
      <c r="B52" s="12" t="str">
        <f t="shared" si="6"/>
        <v>Mikroskop Operacyjny</v>
      </c>
      <c r="C52" s="1" t="str">
        <f>"Opmi Lumera T"</f>
        <v>Opmi Lumera T</v>
      </c>
      <c r="D52" s="1" t="str">
        <f>"21384/12"</f>
        <v>21384/12</v>
      </c>
      <c r="E52" s="1" t="str">
        <f>"6215145364+6719101003+6907101259+1102456309X+6308X"</f>
        <v>6215145364+6719101003+6907101259+1102456309X+6308X</v>
      </c>
      <c r="F52" s="1" t="str">
        <f>"Sala Op.Przykliniczna Okulistyczna"</f>
        <v>Sala Op.Przykliniczna Okulistyczna</v>
      </c>
      <c r="G52" s="1">
        <v>2010</v>
      </c>
      <c r="H52" s="1" t="str">
        <f t="shared" si="7"/>
        <v>CARL ZEISS</v>
      </c>
      <c r="I52" s="1">
        <v>12</v>
      </c>
      <c r="J52" s="1" t="str">
        <f>"2018-08-23"</f>
        <v>2018-08-23</v>
      </c>
    </row>
    <row r="53" spans="1:10" ht="11.25">
      <c r="A53" s="1">
        <v>46</v>
      </c>
      <c r="B53" s="12" t="str">
        <f t="shared" si="6"/>
        <v>Mikroskop Operacyjny</v>
      </c>
      <c r="C53" s="1" t="str">
        <f>"Opmi Lumera T"</f>
        <v>Opmi Lumera T</v>
      </c>
      <c r="D53" s="1" t="str">
        <f>"21384/12"</f>
        <v>21384/12</v>
      </c>
      <c r="E53" s="1" t="str">
        <f>"6215145364 "</f>
        <v>6215145364 </v>
      </c>
      <c r="F53" s="1" t="str">
        <f>"Sala Op.Przykliniczna Okulistyczna"</f>
        <v>Sala Op.Przykliniczna Okulistyczna</v>
      </c>
      <c r="G53" s="1">
        <v>2011</v>
      </c>
      <c r="H53" s="1" t="str">
        <f t="shared" si="7"/>
        <v>CARL ZEISS</v>
      </c>
      <c r="I53" s="1">
        <v>12</v>
      </c>
      <c r="J53" s="1" t="str">
        <f>"2018-08-23"</f>
        <v>2018-08-23</v>
      </c>
    </row>
    <row r="54" spans="1:10" ht="11.25">
      <c r="A54" s="1">
        <v>47</v>
      </c>
      <c r="B54" s="12" t="str">
        <f t="shared" si="6"/>
        <v>Mikroskop Operacyjny</v>
      </c>
      <c r="C54" s="1" t="str">
        <f>"Opmi MDO S5"</f>
        <v>Opmi MDO S5</v>
      </c>
      <c r="D54" s="1" t="str">
        <f>"A-802-0738"</f>
        <v>A-802-0738</v>
      </c>
      <c r="E54" s="1" t="str">
        <f>"233991 "</f>
        <v>233991 </v>
      </c>
      <c r="F54" s="1" t="str">
        <f>"Oddz. Klin. Okulistyczny"</f>
        <v>Oddz. Klin. Okulistyczny</v>
      </c>
      <c r="G54" s="1">
        <v>1999</v>
      </c>
      <c r="H54" s="1" t="str">
        <f t="shared" si="7"/>
        <v>CARL ZEISS</v>
      </c>
      <c r="I54" s="1">
        <v>12</v>
      </c>
      <c r="J54" s="1" t="str">
        <f>"2018-08-23"</f>
        <v>2018-08-23</v>
      </c>
    </row>
    <row r="55" spans="1:10" ht="11.25">
      <c r="A55" s="1">
        <v>48</v>
      </c>
      <c r="B55" s="12" t="str">
        <f t="shared" si="6"/>
        <v>Mikroskop Operacyjny</v>
      </c>
      <c r="C55" s="1" t="str">
        <f>"Opmi Pentero"</f>
        <v>Opmi Pentero</v>
      </c>
      <c r="D55" s="1" t="str">
        <f>"17846/10"</f>
        <v>17846/10</v>
      </c>
      <c r="E55" s="1" t="str">
        <f>"6631402976"</f>
        <v>6631402976</v>
      </c>
      <c r="F55" s="1" t="str">
        <f>"Blok Op. Neurochirurgii"</f>
        <v>Blok Op. Neurochirurgii</v>
      </c>
      <c r="G55" s="1">
        <v>2007</v>
      </c>
      <c r="H55" s="1" t="str">
        <f t="shared" si="7"/>
        <v>CARL ZEISS</v>
      </c>
      <c r="I55" s="1">
        <v>12</v>
      </c>
      <c r="J55" s="1" t="str">
        <f>"2018-08-23"</f>
        <v>2018-08-23</v>
      </c>
    </row>
    <row r="56" spans="1:10" ht="11.25">
      <c r="A56" s="1">
        <v>49</v>
      </c>
      <c r="B56" s="12" t="str">
        <f t="shared" si="6"/>
        <v>Mikroskop Operacyjny</v>
      </c>
      <c r="C56" s="1" t="str">
        <f>"Opmi Pentero"</f>
        <v>Opmi Pentero</v>
      </c>
      <c r="D56" s="1" t="str">
        <f>"17847/10"</f>
        <v>17847/10</v>
      </c>
      <c r="E56" s="1" t="str">
        <f>"6631403083 "</f>
        <v>6631403083 </v>
      </c>
      <c r="F56" s="1" t="str">
        <f>"Blok Op. Neurochirurgii"</f>
        <v>Blok Op. Neurochirurgii</v>
      </c>
      <c r="G56" s="1">
        <v>2007</v>
      </c>
      <c r="H56" s="1" t="str">
        <f t="shared" si="7"/>
        <v>CARL ZEISS</v>
      </c>
      <c r="I56" s="1">
        <v>12</v>
      </c>
      <c r="J56" s="1" t="str">
        <f>"2018-08-31"</f>
        <v>2018-08-31</v>
      </c>
    </row>
    <row r="57" spans="1:10" ht="11.25">
      <c r="A57" s="1">
        <v>50</v>
      </c>
      <c r="B57" s="12" t="str">
        <f t="shared" si="6"/>
        <v>Mikroskop Operacyjny</v>
      </c>
      <c r="C57" s="1" t="str">
        <f>"Opmi Proergo"</f>
        <v>Opmi Proergo</v>
      </c>
      <c r="D57" s="1" t="str">
        <f>"12847/08"</f>
        <v>12847/08</v>
      </c>
      <c r="E57" s="1" t="str">
        <f>"6628504427 "</f>
        <v>6628504427 </v>
      </c>
      <c r="F57" s="1" t="str">
        <f>"Blok Op.  Otolaryngologii"</f>
        <v>Blok Op.  Otolaryngologii</v>
      </c>
      <c r="G57" s="1">
        <v>2008</v>
      </c>
      <c r="H57" s="1" t="str">
        <f t="shared" si="7"/>
        <v>CARL ZEISS</v>
      </c>
      <c r="I57" s="1">
        <v>12</v>
      </c>
      <c r="J57" s="1" t="str">
        <f>"2018-08-31"</f>
        <v>2018-08-31</v>
      </c>
    </row>
    <row r="58" spans="1:10" ht="11.25">
      <c r="A58" s="1">
        <v>51</v>
      </c>
      <c r="B58" s="12" t="str">
        <f t="shared" si="6"/>
        <v>Mikroskop Operacyjny</v>
      </c>
      <c r="C58" s="1" t="str">
        <f>"Opmi Proergo"</f>
        <v>Opmi Proergo</v>
      </c>
      <c r="D58" s="1" t="str">
        <f>"15105"</f>
        <v>15105</v>
      </c>
      <c r="E58" s="1" t="str">
        <f>"6628161882 "</f>
        <v>6628161882 </v>
      </c>
      <c r="F58" s="1" t="str">
        <f>"Blok Op.  Otolaryngologii"</f>
        <v>Blok Op.  Otolaryngologii</v>
      </c>
      <c r="G58" s="1">
        <v>2010</v>
      </c>
      <c r="H58" s="1" t="str">
        <f t="shared" si="7"/>
        <v>CARL ZEISS</v>
      </c>
      <c r="I58" s="1">
        <v>12</v>
      </c>
      <c r="J58" s="1" t="str">
        <f>"2018-08-23"</f>
        <v>2018-08-23</v>
      </c>
    </row>
    <row r="59" spans="1:10" ht="33.75">
      <c r="A59" s="1">
        <v>52</v>
      </c>
      <c r="B59" s="12" t="str">
        <f t="shared" si="6"/>
        <v>Mikroskop Operacyjny</v>
      </c>
      <c r="C59" s="1" t="str">
        <f>"SOM 62"</f>
        <v>SOM 62</v>
      </c>
      <c r="D59" s="1" t="str">
        <f>"6889/03"</f>
        <v>6889/03</v>
      </c>
      <c r="E59" s="1" t="str">
        <f>"7802"</f>
        <v>7802</v>
      </c>
      <c r="F59" s="1" t="str">
        <f>"Oddz. Klin. Otolaryng. z P-oddz. Ot.Dziec."</f>
        <v>Oddz. Klin. Otolaryng. z P-oddz. Ot.Dziec.</v>
      </c>
      <c r="G59" s="1">
        <v>2002</v>
      </c>
      <c r="H59" s="1" t="str">
        <f>"KAPS"</f>
        <v>KAPS</v>
      </c>
      <c r="I59" s="1">
        <v>12</v>
      </c>
      <c r="J59" s="1" t="s">
        <v>6</v>
      </c>
    </row>
    <row r="60" spans="1:10" ht="33.75">
      <c r="A60" s="1">
        <v>53</v>
      </c>
      <c r="B60" s="12" t="str">
        <f>"Mikroskop screeningowy"</f>
        <v>Mikroskop screeningowy</v>
      </c>
      <c r="C60" s="1" t="str">
        <f>"BX53F"</f>
        <v>BX53F</v>
      </c>
      <c r="D60" s="1" t="str">
        <f>"USK/47769"</f>
        <v>USK/47769</v>
      </c>
      <c r="E60" s="1" t="str">
        <f>"5A44289"</f>
        <v>5A44289</v>
      </c>
      <c r="F60" s="1" t="s">
        <v>2</v>
      </c>
      <c r="G60" s="1">
        <v>2015</v>
      </c>
      <c r="H60" s="1" t="str">
        <f>"OLYMPUS"</f>
        <v>OLYMPUS</v>
      </c>
      <c r="I60" s="1">
        <v>12</v>
      </c>
      <c r="J60" s="1" t="str">
        <f>"2018-07-25"</f>
        <v>2018-07-25</v>
      </c>
    </row>
    <row r="61" spans="1:10" ht="33.75">
      <c r="A61" s="1">
        <v>54</v>
      </c>
      <c r="B61" s="12" t="str">
        <f>"Mikroskop screeningowy"</f>
        <v>Mikroskop screeningowy</v>
      </c>
      <c r="C61" s="1" t="str">
        <f>"BX53F"</f>
        <v>BX53F</v>
      </c>
      <c r="D61" s="1" t="str">
        <f>"USK/47770"</f>
        <v>USK/47770</v>
      </c>
      <c r="E61" s="1" t="str">
        <f>"5A43796"</f>
        <v>5A43796</v>
      </c>
      <c r="F61" s="1" t="s">
        <v>2</v>
      </c>
      <c r="G61" s="1">
        <v>2015</v>
      </c>
      <c r="H61" s="1" t="str">
        <f>"OLYMPUS"</f>
        <v>OLYMPUS</v>
      </c>
      <c r="I61" s="1">
        <v>12</v>
      </c>
      <c r="J61" s="1" t="str">
        <f>"2018-07-25"</f>
        <v>2018-07-25</v>
      </c>
    </row>
    <row r="62" spans="1:10" ht="33.75">
      <c r="A62" s="1">
        <v>55</v>
      </c>
      <c r="B62" s="12" t="str">
        <f>"Mikroskop screeningowy"</f>
        <v>Mikroskop screeningowy</v>
      </c>
      <c r="C62" s="1" t="str">
        <f>"BX53F"</f>
        <v>BX53F</v>
      </c>
      <c r="D62" s="1" t="str">
        <f>"USK/47771"</f>
        <v>USK/47771</v>
      </c>
      <c r="E62" s="1" t="str">
        <f>"5A43895"</f>
        <v>5A43895</v>
      </c>
      <c r="F62" s="1" t="s">
        <v>2</v>
      </c>
      <c r="G62" s="1">
        <v>2015</v>
      </c>
      <c r="H62" s="1" t="str">
        <f>"OLYMPUS"</f>
        <v>OLYMPUS</v>
      </c>
      <c r="I62" s="1">
        <v>12</v>
      </c>
      <c r="J62" s="1" t="str">
        <f>"2018-07-25"</f>
        <v>2018-07-25</v>
      </c>
    </row>
    <row r="63" spans="1:10" ht="33.75">
      <c r="A63" s="1">
        <v>56</v>
      </c>
      <c r="B63" s="12" t="str">
        <f>"Mikroskop spekularny"</f>
        <v>Mikroskop spekularny</v>
      </c>
      <c r="C63" s="1" t="str">
        <f>"SP300P"</f>
        <v>SP300P</v>
      </c>
      <c r="D63" s="1"/>
      <c r="E63" s="1" t="str">
        <f>"0311395 "</f>
        <v>0311395 </v>
      </c>
      <c r="F63" s="1" t="str">
        <f>"Poradnia Przykl. Okulistyczna"</f>
        <v>Poradnia Przykl. Okulistyczna</v>
      </c>
      <c r="G63" s="1">
        <v>2010</v>
      </c>
      <c r="H63" s="1" t="str">
        <f>"Topcon"</f>
        <v>Topcon</v>
      </c>
      <c r="I63" s="1">
        <v>12</v>
      </c>
      <c r="J63" s="1" t="s">
        <v>6</v>
      </c>
    </row>
    <row r="64" spans="1:10" ht="33.75">
      <c r="A64" s="1">
        <v>57</v>
      </c>
      <c r="B64" s="12" t="str">
        <f>"Mikroskop z kamerą wizyjną"</f>
        <v>Mikroskop z kamerą wizyjną</v>
      </c>
      <c r="C64" s="1" t="str">
        <f>"BX53F"</f>
        <v>BX53F</v>
      </c>
      <c r="D64" s="1"/>
      <c r="E64" s="1" t="str">
        <f>"5A43790"</f>
        <v>5A43790</v>
      </c>
      <c r="F64" s="1" t="s">
        <v>2</v>
      </c>
      <c r="G64" s="1">
        <v>2015</v>
      </c>
      <c r="H64" s="1" t="str">
        <f>"OLYMPUS"</f>
        <v>OLYMPUS</v>
      </c>
      <c r="I64" s="1">
        <v>12</v>
      </c>
      <c r="J64" s="1" t="str">
        <f>"2018-07-26"</f>
        <v>2018-07-26</v>
      </c>
    </row>
    <row r="65" spans="1:10" ht="33.75">
      <c r="A65" s="1">
        <v>58</v>
      </c>
      <c r="B65" s="12" t="str">
        <f>"Mikroskop zmotoryzowany do badań metodą FISH"</f>
        <v>Mikroskop zmotoryzowany do badań metodą FISH</v>
      </c>
      <c r="C65" s="1" t="str">
        <f>"BX61"</f>
        <v>BX61</v>
      </c>
      <c r="D65" s="1" t="str">
        <f>"17589/10"</f>
        <v>17589/10</v>
      </c>
      <c r="E65" s="1" t="str">
        <f>"9F10612 "</f>
        <v>9F10612 </v>
      </c>
      <c r="F65" s="1" t="str">
        <f>"Pracownia Biologii Molekularnej"</f>
        <v>Pracownia Biologii Molekularnej</v>
      </c>
      <c r="G65" s="1">
        <v>2009</v>
      </c>
      <c r="H65" s="1" t="str">
        <f>"OLYMPUS"</f>
        <v>OLYMPUS</v>
      </c>
      <c r="I65" s="1">
        <v>12</v>
      </c>
      <c r="J65" s="1" t="s">
        <v>6</v>
      </c>
    </row>
    <row r="66" spans="1:6" ht="25.5">
      <c r="A66" s="1"/>
      <c r="F66" s="5" t="s">
        <v>93</v>
      </c>
    </row>
    <row r="67" spans="1:10" ht="45">
      <c r="A67" s="1"/>
      <c r="B67" s="18" t="s">
        <v>9</v>
      </c>
      <c r="C67" s="15" t="s">
        <v>10</v>
      </c>
      <c r="D67" s="15" t="s">
        <v>11</v>
      </c>
      <c r="E67" s="15" t="s">
        <v>12</v>
      </c>
      <c r="F67" s="15" t="s">
        <v>13</v>
      </c>
      <c r="G67" s="15" t="s">
        <v>14</v>
      </c>
      <c r="H67" s="16" t="s">
        <v>15</v>
      </c>
      <c r="I67" s="15" t="s">
        <v>16</v>
      </c>
      <c r="J67" s="17" t="s">
        <v>68</v>
      </c>
    </row>
    <row r="68" spans="1:10" ht="33.75">
      <c r="A68" s="1">
        <v>1</v>
      </c>
      <c r="B68" s="6" t="s">
        <v>17</v>
      </c>
      <c r="C68" s="6" t="s">
        <v>18</v>
      </c>
      <c r="D68" s="6" t="s">
        <v>69</v>
      </c>
      <c r="E68" s="7">
        <v>511005</v>
      </c>
      <c r="F68" s="8" t="s">
        <v>88</v>
      </c>
      <c r="G68" s="11" t="s">
        <v>19</v>
      </c>
      <c r="H68" s="10" t="s">
        <v>20</v>
      </c>
      <c r="I68" s="12">
        <v>12</v>
      </c>
      <c r="J68" s="1" t="s">
        <v>6</v>
      </c>
    </row>
    <row r="69" spans="1:10" ht="33.75">
      <c r="A69" s="1">
        <v>2</v>
      </c>
      <c r="B69" s="6" t="s">
        <v>17</v>
      </c>
      <c r="C69" s="6" t="s">
        <v>21</v>
      </c>
      <c r="D69" s="6" t="s">
        <v>70</v>
      </c>
      <c r="E69" s="7" t="s">
        <v>22</v>
      </c>
      <c r="F69" s="8" t="s">
        <v>89</v>
      </c>
      <c r="G69" s="11" t="s">
        <v>23</v>
      </c>
      <c r="H69" s="10" t="s">
        <v>20</v>
      </c>
      <c r="I69" s="12">
        <v>12</v>
      </c>
      <c r="J69" s="1" t="s">
        <v>6</v>
      </c>
    </row>
    <row r="70" spans="1:10" ht="33.75">
      <c r="A70" s="1">
        <v>3</v>
      </c>
      <c r="B70" s="6" t="s">
        <v>17</v>
      </c>
      <c r="C70" s="6" t="s">
        <v>24</v>
      </c>
      <c r="D70" s="6" t="s">
        <v>71</v>
      </c>
      <c r="E70" s="7" t="s">
        <v>25</v>
      </c>
      <c r="F70" s="9" t="s">
        <v>90</v>
      </c>
      <c r="G70" s="11" t="s">
        <v>26</v>
      </c>
      <c r="H70" s="10" t="s">
        <v>20</v>
      </c>
      <c r="I70" s="12">
        <v>12</v>
      </c>
      <c r="J70" s="1" t="s">
        <v>6</v>
      </c>
    </row>
    <row r="71" spans="1:10" ht="33.75">
      <c r="A71" s="1">
        <v>4</v>
      </c>
      <c r="B71" s="6" t="s">
        <v>17</v>
      </c>
      <c r="C71" s="6" t="s">
        <v>27</v>
      </c>
      <c r="D71" s="6" t="s">
        <v>72</v>
      </c>
      <c r="E71" s="7" t="s">
        <v>28</v>
      </c>
      <c r="F71" s="9" t="s">
        <v>90</v>
      </c>
      <c r="G71" s="11" t="s">
        <v>26</v>
      </c>
      <c r="H71" s="10" t="s">
        <v>20</v>
      </c>
      <c r="I71" s="12">
        <v>12</v>
      </c>
      <c r="J71" s="1" t="s">
        <v>6</v>
      </c>
    </row>
    <row r="72" spans="1:10" ht="33.75">
      <c r="A72" s="1">
        <v>5</v>
      </c>
      <c r="B72" s="6" t="s">
        <v>17</v>
      </c>
      <c r="C72" s="6" t="s">
        <v>27</v>
      </c>
      <c r="D72" s="6" t="s">
        <v>73</v>
      </c>
      <c r="E72" s="7" t="s">
        <v>29</v>
      </c>
      <c r="F72" s="9" t="s">
        <v>90</v>
      </c>
      <c r="G72" s="11" t="s">
        <v>26</v>
      </c>
      <c r="H72" s="10" t="s">
        <v>20</v>
      </c>
      <c r="I72" s="12">
        <v>12</v>
      </c>
      <c r="J72" s="1" t="s">
        <v>6</v>
      </c>
    </row>
    <row r="73" spans="1:10" ht="33.75">
      <c r="A73" s="1">
        <v>6</v>
      </c>
      <c r="B73" s="6" t="s">
        <v>17</v>
      </c>
      <c r="C73" s="6" t="s">
        <v>30</v>
      </c>
      <c r="D73" s="6" t="s">
        <v>74</v>
      </c>
      <c r="E73" s="7">
        <v>819725</v>
      </c>
      <c r="F73" s="6" t="s">
        <v>31</v>
      </c>
      <c r="G73" s="11" t="s">
        <v>32</v>
      </c>
      <c r="H73" s="10" t="s">
        <v>94</v>
      </c>
      <c r="I73" s="12">
        <v>12</v>
      </c>
      <c r="J73" s="1" t="s">
        <v>6</v>
      </c>
    </row>
    <row r="74" spans="1:10" ht="33.75">
      <c r="A74" s="1">
        <v>7</v>
      </c>
      <c r="B74" s="6" t="s">
        <v>17</v>
      </c>
      <c r="C74" s="6" t="s">
        <v>33</v>
      </c>
      <c r="D74" s="6" t="s">
        <v>75</v>
      </c>
      <c r="E74" s="7" t="s">
        <v>34</v>
      </c>
      <c r="F74" s="9" t="s">
        <v>90</v>
      </c>
      <c r="G74" s="11" t="s">
        <v>26</v>
      </c>
      <c r="H74" s="10" t="s">
        <v>94</v>
      </c>
      <c r="I74" s="12">
        <v>12</v>
      </c>
      <c r="J74" s="1" t="s">
        <v>6</v>
      </c>
    </row>
    <row r="75" spans="1:10" ht="33.75">
      <c r="A75" s="1">
        <v>8</v>
      </c>
      <c r="B75" s="6" t="s">
        <v>17</v>
      </c>
      <c r="C75" s="6" t="s">
        <v>35</v>
      </c>
      <c r="D75" s="6" t="s">
        <v>76</v>
      </c>
      <c r="E75" s="7">
        <v>1113550</v>
      </c>
      <c r="F75" s="6" t="s">
        <v>31</v>
      </c>
      <c r="G75" s="11" t="s">
        <v>36</v>
      </c>
      <c r="H75" s="10" t="s">
        <v>94</v>
      </c>
      <c r="I75" s="12">
        <v>12</v>
      </c>
      <c r="J75" s="1" t="s">
        <v>6</v>
      </c>
    </row>
    <row r="76" spans="1:10" ht="33.75">
      <c r="A76" s="1">
        <v>9</v>
      </c>
      <c r="B76" s="6" t="s">
        <v>17</v>
      </c>
      <c r="C76" s="6" t="s">
        <v>37</v>
      </c>
      <c r="D76" s="6" t="s">
        <v>77</v>
      </c>
      <c r="E76" s="7" t="s">
        <v>38</v>
      </c>
      <c r="F76" s="6" t="s">
        <v>31</v>
      </c>
      <c r="G76" s="11" t="s">
        <v>23</v>
      </c>
      <c r="H76" s="10" t="s">
        <v>94</v>
      </c>
      <c r="I76" s="12">
        <v>12</v>
      </c>
      <c r="J76" s="1" t="s">
        <v>6</v>
      </c>
    </row>
    <row r="77" spans="1:10" ht="33.75">
      <c r="A77" s="1">
        <v>10</v>
      </c>
      <c r="B77" s="6" t="s">
        <v>17</v>
      </c>
      <c r="C77" s="6" t="s">
        <v>30</v>
      </c>
      <c r="D77" s="6" t="s">
        <v>78</v>
      </c>
      <c r="E77" s="7" t="s">
        <v>39</v>
      </c>
      <c r="F77" s="6" t="s">
        <v>40</v>
      </c>
      <c r="G77" s="11" t="s">
        <v>23</v>
      </c>
      <c r="H77" s="10" t="s">
        <v>94</v>
      </c>
      <c r="I77" s="12">
        <v>12</v>
      </c>
      <c r="J77" s="1" t="s">
        <v>6</v>
      </c>
    </row>
    <row r="78" spans="1:10" ht="33.75">
      <c r="A78" s="1">
        <v>11</v>
      </c>
      <c r="B78" s="6" t="s">
        <v>17</v>
      </c>
      <c r="C78" s="6" t="s">
        <v>30</v>
      </c>
      <c r="D78" s="6" t="s">
        <v>79</v>
      </c>
      <c r="E78" s="7" t="s">
        <v>41</v>
      </c>
      <c r="F78" s="6" t="s">
        <v>42</v>
      </c>
      <c r="G78" s="11"/>
      <c r="H78" s="10" t="s">
        <v>94</v>
      </c>
      <c r="I78" s="12">
        <v>12</v>
      </c>
      <c r="J78" s="1" t="s">
        <v>6</v>
      </c>
    </row>
    <row r="79" spans="1:10" ht="33.75">
      <c r="A79" s="1">
        <v>12</v>
      </c>
      <c r="B79" s="6" t="s">
        <v>17</v>
      </c>
      <c r="C79" s="6" t="s">
        <v>43</v>
      </c>
      <c r="D79" s="6" t="s">
        <v>80</v>
      </c>
      <c r="E79" s="7">
        <v>754783</v>
      </c>
      <c r="F79" s="8" t="s">
        <v>91</v>
      </c>
      <c r="G79" s="11" t="s">
        <v>19</v>
      </c>
      <c r="H79" s="10" t="s">
        <v>95</v>
      </c>
      <c r="I79" s="12">
        <v>12</v>
      </c>
      <c r="J79" s="1" t="s">
        <v>6</v>
      </c>
    </row>
    <row r="80" spans="1:10" ht="33.75">
      <c r="A80" s="1">
        <v>13</v>
      </c>
      <c r="B80" s="6" t="s">
        <v>17</v>
      </c>
      <c r="C80" s="6" t="s">
        <v>44</v>
      </c>
      <c r="D80" s="6" t="s">
        <v>81</v>
      </c>
      <c r="E80" s="7">
        <v>984349</v>
      </c>
      <c r="F80" s="8" t="s">
        <v>91</v>
      </c>
      <c r="G80" s="11" t="s">
        <v>45</v>
      </c>
      <c r="H80" s="10" t="s">
        <v>95</v>
      </c>
      <c r="I80" s="12">
        <v>12</v>
      </c>
      <c r="J80" s="1" t="s">
        <v>6</v>
      </c>
    </row>
    <row r="81" spans="1:10" ht="33.75">
      <c r="A81" s="1">
        <v>14</v>
      </c>
      <c r="B81" s="6" t="s">
        <v>17</v>
      </c>
      <c r="C81" s="6" t="s">
        <v>46</v>
      </c>
      <c r="D81" s="6" t="s">
        <v>82</v>
      </c>
      <c r="E81" s="7">
        <v>4070</v>
      </c>
      <c r="F81" s="6" t="s">
        <v>31</v>
      </c>
      <c r="G81" s="11" t="s">
        <v>47</v>
      </c>
      <c r="H81" s="10" t="s">
        <v>95</v>
      </c>
      <c r="I81" s="12">
        <v>12</v>
      </c>
      <c r="J81" s="1" t="s">
        <v>6</v>
      </c>
    </row>
    <row r="82" spans="1:10" ht="33.75">
      <c r="A82" s="1">
        <v>15</v>
      </c>
      <c r="B82" s="6" t="s">
        <v>17</v>
      </c>
      <c r="C82" s="6" t="s">
        <v>46</v>
      </c>
      <c r="D82" s="6" t="s">
        <v>83</v>
      </c>
      <c r="E82" s="7" t="s">
        <v>48</v>
      </c>
      <c r="F82" s="6" t="s">
        <v>31</v>
      </c>
      <c r="G82" s="11" t="s">
        <v>49</v>
      </c>
      <c r="H82" s="10" t="s">
        <v>95</v>
      </c>
      <c r="I82" s="12">
        <v>12</v>
      </c>
      <c r="J82" s="1" t="s">
        <v>6</v>
      </c>
    </row>
    <row r="83" spans="1:10" ht="33.75">
      <c r="A83" s="1">
        <v>16</v>
      </c>
      <c r="B83" s="6" t="s">
        <v>17</v>
      </c>
      <c r="C83" s="6"/>
      <c r="D83" s="6" t="s">
        <v>84</v>
      </c>
      <c r="E83" s="7" t="s">
        <v>50</v>
      </c>
      <c r="F83" s="6" t="s">
        <v>51</v>
      </c>
      <c r="G83" s="11" t="s">
        <v>52</v>
      </c>
      <c r="H83" s="10" t="s">
        <v>95</v>
      </c>
      <c r="I83" s="12">
        <v>12</v>
      </c>
      <c r="J83" s="1" t="s">
        <v>6</v>
      </c>
    </row>
    <row r="84" spans="1:10" ht="33.75">
      <c r="A84" s="1">
        <v>17</v>
      </c>
      <c r="B84" s="6" t="s">
        <v>17</v>
      </c>
      <c r="C84" s="6" t="s">
        <v>53</v>
      </c>
      <c r="D84" s="6" t="s">
        <v>85</v>
      </c>
      <c r="E84" s="7" t="s">
        <v>54</v>
      </c>
      <c r="F84" s="6" t="s">
        <v>31</v>
      </c>
      <c r="G84" s="11" t="s">
        <v>55</v>
      </c>
      <c r="H84" s="10" t="s">
        <v>95</v>
      </c>
      <c r="I84" s="12">
        <v>12</v>
      </c>
      <c r="J84" s="1" t="s">
        <v>6</v>
      </c>
    </row>
    <row r="85" spans="1:10" ht="33.75">
      <c r="A85" s="1">
        <v>18</v>
      </c>
      <c r="B85" s="6" t="s">
        <v>17</v>
      </c>
      <c r="C85" s="6" t="s">
        <v>56</v>
      </c>
      <c r="D85" s="6"/>
      <c r="E85" s="7" t="s">
        <v>57</v>
      </c>
      <c r="F85" s="6" t="s">
        <v>92</v>
      </c>
      <c r="G85" s="11" t="s">
        <v>58</v>
      </c>
      <c r="H85" s="10" t="s">
        <v>95</v>
      </c>
      <c r="I85" s="12">
        <v>12</v>
      </c>
      <c r="J85" s="1" t="s">
        <v>6</v>
      </c>
    </row>
    <row r="86" spans="1:10" ht="33.75">
      <c r="A86" s="1">
        <v>19</v>
      </c>
      <c r="B86" s="6" t="s">
        <v>17</v>
      </c>
      <c r="C86" s="6" t="s">
        <v>59</v>
      </c>
      <c r="D86" s="6" t="s">
        <v>84</v>
      </c>
      <c r="E86" s="7" t="s">
        <v>60</v>
      </c>
      <c r="F86" s="6" t="s">
        <v>31</v>
      </c>
      <c r="G86" s="11" t="s">
        <v>52</v>
      </c>
      <c r="H86" s="10" t="s">
        <v>95</v>
      </c>
      <c r="I86" s="12">
        <v>12</v>
      </c>
      <c r="J86" s="1" t="s">
        <v>6</v>
      </c>
    </row>
    <row r="87" spans="1:10" ht="33.75">
      <c r="A87" s="1">
        <v>20</v>
      </c>
      <c r="B87" s="6" t="s">
        <v>17</v>
      </c>
      <c r="C87" s="6" t="s">
        <v>61</v>
      </c>
      <c r="D87" s="6" t="s">
        <v>86</v>
      </c>
      <c r="E87" s="7" t="s">
        <v>62</v>
      </c>
      <c r="F87" s="9" t="s">
        <v>90</v>
      </c>
      <c r="G87" s="11" t="s">
        <v>63</v>
      </c>
      <c r="H87" s="10" t="s">
        <v>96</v>
      </c>
      <c r="I87" s="12">
        <v>12</v>
      </c>
      <c r="J87" s="1" t="s">
        <v>6</v>
      </c>
    </row>
    <row r="88" spans="1:10" ht="33.75">
      <c r="A88" s="1">
        <v>21</v>
      </c>
      <c r="B88" s="6" t="s">
        <v>17</v>
      </c>
      <c r="C88" s="6" t="s">
        <v>64</v>
      </c>
      <c r="D88" s="6" t="s">
        <v>87</v>
      </c>
      <c r="E88" s="7">
        <v>7913</v>
      </c>
      <c r="F88" s="8" t="s">
        <v>91</v>
      </c>
      <c r="G88" s="11" t="s">
        <v>65</v>
      </c>
      <c r="H88" s="10" t="s">
        <v>96</v>
      </c>
      <c r="I88" s="12">
        <v>12</v>
      </c>
      <c r="J88" s="1" t="s">
        <v>6</v>
      </c>
    </row>
    <row r="89" spans="1:10" ht="33.75">
      <c r="A89" s="1">
        <v>22</v>
      </c>
      <c r="B89" s="6" t="s">
        <v>17</v>
      </c>
      <c r="C89" s="6" t="s">
        <v>66</v>
      </c>
      <c r="D89" s="6" t="s">
        <v>69</v>
      </c>
      <c r="E89" s="7">
        <v>16885</v>
      </c>
      <c r="F89" s="6" t="s">
        <v>51</v>
      </c>
      <c r="G89" s="11" t="s">
        <v>67</v>
      </c>
      <c r="H89" s="10" t="s">
        <v>96</v>
      </c>
      <c r="I89" s="12">
        <v>12</v>
      </c>
      <c r="J89" s="1" t="s">
        <v>6</v>
      </c>
    </row>
    <row r="91" spans="2:6" ht="11.25">
      <c r="B91" s="14" t="s">
        <v>100</v>
      </c>
      <c r="F91" s="14" t="s">
        <v>101</v>
      </c>
    </row>
    <row r="92" ht="11.25">
      <c r="H92" s="2" t="s">
        <v>7</v>
      </c>
    </row>
  </sheetData>
  <mergeCells count="1">
    <mergeCell ref="B4:F4"/>
  </mergeCells>
  <printOptions/>
  <pageMargins left="0.2" right="0.2" top="0.28" bottom="0.25" header="0.22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Inwent</cp:lastModifiedBy>
  <cp:lastPrinted>2018-02-09T13:26:09Z</cp:lastPrinted>
  <dcterms:created xsi:type="dcterms:W3CDTF">2018-01-30T10:21:11Z</dcterms:created>
  <dcterms:modified xsi:type="dcterms:W3CDTF">2018-02-20T08:30:30Z</dcterms:modified>
  <cp:category/>
  <cp:version/>
  <cp:contentType/>
  <cp:contentStatus/>
</cp:coreProperties>
</file>